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Shristy.Agarwal\Downloads\"/>
    </mc:Choice>
  </mc:AlternateContent>
  <xr:revisionPtr revIDLastSave="0" documentId="13_ncr:1_{F1E32E0F-8EC1-42AF-92AC-36220600F7B5}" xr6:coauthVersionLast="47" xr6:coauthVersionMax="47" xr10:uidLastSave="{00000000-0000-0000-0000-000000000000}"/>
  <bookViews>
    <workbookView xWindow="-110" yWindow="-110" windowWidth="19420" windowHeight="11500" tabRatio="886" firstSheet="4" activeTab="9" xr2:uid="{00000000-000D-0000-FFFF-FFFF00000000}"/>
  </bookViews>
  <sheets>
    <sheet name="Inputs and assumptions" sheetId="5" r:id="rId1"/>
    <sheet name="Option 1 - Manufacturing" sheetId="1" r:id="rId2"/>
    <sheet name="Option 2 - Highway" sheetId="6" r:id="rId3"/>
    <sheet name="Option 3 - Start up" sheetId="3" r:id="rId4"/>
    <sheet name="Solution--&gt;" sheetId="11" r:id="rId5"/>
    <sheet name="Option 1.b - Manufacturing" sheetId="7" r:id="rId6"/>
    <sheet name="Option 2.b - Highway" sheetId="8" r:id="rId7"/>
    <sheet name="Option 3.b - Start up" sheetId="9" r:id="rId8"/>
    <sheet name="Results and Graphs" sheetId="4" r:id="rId9"/>
    <sheet name="Summary" sheetId="13"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8" l="1"/>
  <c r="G24" i="8"/>
  <c r="C8" i="6"/>
  <c r="C8" i="7" l="1"/>
  <c r="F23" i="7"/>
  <c r="F24" i="7" s="1"/>
  <c r="G12" i="7"/>
  <c r="I12" i="7" s="1"/>
  <c r="F12" i="7"/>
  <c r="F13" i="7" s="1"/>
  <c r="F14" i="7" s="1"/>
  <c r="F15" i="7" s="1"/>
  <c r="F16" i="7" s="1"/>
  <c r="F17" i="7" s="1"/>
  <c r="F18" i="7" s="1"/>
  <c r="F19" i="7" s="1"/>
  <c r="F20" i="7" s="1"/>
  <c r="F21" i="7" s="1"/>
  <c r="F22" i="7" s="1"/>
  <c r="E12" i="7"/>
  <c r="C2" i="7"/>
  <c r="I8" i="5"/>
  <c r="C3" i="6"/>
  <c r="C3" i="1"/>
  <c r="C8" i="9" l="1"/>
  <c r="C7" i="9"/>
  <c r="I17" i="9" s="1"/>
  <c r="C6" i="9"/>
  <c r="C5" i="9"/>
  <c r="E12" i="8"/>
  <c r="F2" i="8"/>
  <c r="C8" i="3"/>
  <c r="C6" i="3"/>
  <c r="C5" i="3"/>
  <c r="C15" i="3"/>
  <c r="C16" i="3"/>
  <c r="C17" i="3"/>
  <c r="F12" i="6"/>
  <c r="C6" i="6"/>
  <c r="C5" i="6"/>
  <c r="E12" i="6"/>
  <c r="C2" i="1"/>
  <c r="B16" i="4"/>
  <c r="B15" i="4"/>
  <c r="B14" i="4"/>
  <c r="B13" i="4"/>
  <c r="B12" i="4"/>
  <c r="B11" i="4"/>
  <c r="B10" i="4"/>
  <c r="B9" i="4"/>
  <c r="B8" i="4"/>
  <c r="B7" i="4"/>
  <c r="B6" i="4"/>
  <c r="G22" i="9"/>
  <c r="C22" i="9"/>
  <c r="D22" i="9" s="1"/>
  <c r="G21" i="9"/>
  <c r="C21" i="9"/>
  <c r="D21" i="9" s="1"/>
  <c r="G20" i="9"/>
  <c r="C20" i="9"/>
  <c r="D20" i="9" s="1"/>
  <c r="G19" i="9"/>
  <c r="C19" i="9"/>
  <c r="D19" i="9" s="1"/>
  <c r="G18" i="9"/>
  <c r="C18" i="9"/>
  <c r="D18" i="9" s="1"/>
  <c r="G17" i="9"/>
  <c r="C17" i="9"/>
  <c r="D17" i="9" s="1"/>
  <c r="G16" i="9"/>
  <c r="C16" i="9"/>
  <c r="D16" i="9" s="1"/>
  <c r="G15" i="9"/>
  <c r="C15" i="9"/>
  <c r="D15" i="9" s="1"/>
  <c r="G14" i="9"/>
  <c r="C14" i="9"/>
  <c r="D14" i="9" s="1"/>
  <c r="G13" i="9"/>
  <c r="C13" i="9"/>
  <c r="D13" i="9" s="1"/>
  <c r="F4" i="9"/>
  <c r="E4" i="9"/>
  <c r="F3" i="9"/>
  <c r="E12" i="9" s="1"/>
  <c r="E3" i="9"/>
  <c r="F2" i="9"/>
  <c r="E2" i="9"/>
  <c r="C4" i="9"/>
  <c r="C2" i="9"/>
  <c r="D22" i="8"/>
  <c r="B22" i="8"/>
  <c r="D21" i="8"/>
  <c r="B21" i="8"/>
  <c r="D20" i="8"/>
  <c r="B20" i="8"/>
  <c r="D19" i="8"/>
  <c r="B19" i="8"/>
  <c r="D18" i="8"/>
  <c r="B18" i="8"/>
  <c r="D17" i="8"/>
  <c r="B17" i="8"/>
  <c r="D16" i="8"/>
  <c r="B16" i="8"/>
  <c r="D15" i="8"/>
  <c r="B15" i="8"/>
  <c r="D14" i="8"/>
  <c r="B14" i="8"/>
  <c r="D13" i="8"/>
  <c r="B13" i="8"/>
  <c r="C6" i="8"/>
  <c r="E24" i="8" s="1"/>
  <c r="B6" i="8"/>
  <c r="C5" i="8"/>
  <c r="B5" i="8"/>
  <c r="B13" i="7"/>
  <c r="K12" i="7"/>
  <c r="E22" i="3"/>
  <c r="C22" i="3"/>
  <c r="E21" i="3"/>
  <c r="C21" i="3"/>
  <c r="E20" i="3"/>
  <c r="C20" i="3"/>
  <c r="E19" i="3"/>
  <c r="C19" i="3"/>
  <c r="E18" i="3"/>
  <c r="C18" i="3"/>
  <c r="E17" i="3"/>
  <c r="E16" i="3"/>
  <c r="E15" i="3"/>
  <c r="E14" i="3"/>
  <c r="C14" i="3"/>
  <c r="E13" i="3"/>
  <c r="C13" i="3"/>
  <c r="F2" i="3"/>
  <c r="C7" i="3"/>
  <c r="D13" i="3" s="1"/>
  <c r="C4" i="3"/>
  <c r="C2" i="3"/>
  <c r="E12" i="3" s="1"/>
  <c r="B14" i="6"/>
  <c r="D13" i="6"/>
  <c r="B13" i="6"/>
  <c r="F2" i="6"/>
  <c r="C7" i="6"/>
  <c r="C7" i="8" s="1"/>
  <c r="C2" i="6"/>
  <c r="C4" i="6" s="1"/>
  <c r="D22" i="1"/>
  <c r="B22" i="1"/>
  <c r="D21" i="1"/>
  <c r="B21" i="1"/>
  <c r="D20" i="1"/>
  <c r="B20" i="1"/>
  <c r="D19" i="1"/>
  <c r="B19" i="1"/>
  <c r="D18" i="1"/>
  <c r="B18" i="1"/>
  <c r="D17" i="1"/>
  <c r="B17" i="1"/>
  <c r="D16" i="1"/>
  <c r="B16" i="1"/>
  <c r="D15" i="1"/>
  <c r="B15" i="1"/>
  <c r="D14" i="1"/>
  <c r="B14" i="1"/>
  <c r="D13" i="1"/>
  <c r="B13" i="1"/>
  <c r="F12" i="1"/>
  <c r="C8" i="1"/>
  <c r="C7" i="1"/>
  <c r="C7" i="7" s="1"/>
  <c r="C6" i="1"/>
  <c r="C6" i="7" s="1"/>
  <c r="C5" i="1"/>
  <c r="C5" i="7" s="1"/>
  <c r="C3" i="9" l="1"/>
  <c r="G13" i="7"/>
  <c r="H13" i="7" s="1"/>
  <c r="I13" i="7" s="1"/>
  <c r="D13" i="7"/>
  <c r="B14" i="7"/>
  <c r="D12" i="7"/>
  <c r="L12" i="7" s="1"/>
  <c r="D6" i="4" s="1"/>
  <c r="G16" i="3"/>
  <c r="H16" i="3" s="1"/>
  <c r="G10" i="4" s="1"/>
  <c r="G15" i="3"/>
  <c r="H15" i="3" s="1"/>
  <c r="G9" i="4" s="1"/>
  <c r="G17" i="3"/>
  <c r="H17" i="3" s="1"/>
  <c r="G11" i="4" s="1"/>
  <c r="D14" i="3"/>
  <c r="F15" i="8"/>
  <c r="G15" i="8" s="1"/>
  <c r="F16" i="1"/>
  <c r="G16" i="1" s="1"/>
  <c r="C10" i="4" s="1"/>
  <c r="F3" i="6"/>
  <c r="C4" i="8"/>
  <c r="F3" i="8" s="1"/>
  <c r="D17" i="3"/>
  <c r="D15" i="3"/>
  <c r="C4" i="1"/>
  <c r="C22" i="1" s="1"/>
  <c r="F14" i="9"/>
  <c r="F12" i="9"/>
  <c r="F21" i="9"/>
  <c r="F20" i="9"/>
  <c r="F19" i="9"/>
  <c r="F18" i="9"/>
  <c r="F17" i="9"/>
  <c r="F16" i="9"/>
  <c r="F15" i="9"/>
  <c r="F13" i="9"/>
  <c r="F14" i="6"/>
  <c r="D12" i="1"/>
  <c r="G12" i="1" s="1"/>
  <c r="C3" i="3"/>
  <c r="F19" i="1"/>
  <c r="G19" i="1" s="1"/>
  <c r="C13" i="4" s="1"/>
  <c r="G19" i="3"/>
  <c r="H19" i="3" s="1"/>
  <c r="G13" i="4" s="1"/>
  <c r="G12" i="3"/>
  <c r="H12" i="3" s="1"/>
  <c r="G6" i="4" s="1"/>
  <c r="G20" i="3"/>
  <c r="H20" i="3" s="1"/>
  <c r="G14" i="4" s="1"/>
  <c r="G13" i="3"/>
  <c r="H13" i="3" s="1"/>
  <c r="G7" i="4" s="1"/>
  <c r="C12" i="6"/>
  <c r="D19" i="3"/>
  <c r="F16" i="6"/>
  <c r="J17" i="9"/>
  <c r="H11" i="4" s="1"/>
  <c r="D18" i="3"/>
  <c r="K14" i="7"/>
  <c r="K13" i="7"/>
  <c r="F15" i="6"/>
  <c r="F15" i="1"/>
  <c r="G15" i="1" s="1"/>
  <c r="C9" i="4" s="1"/>
  <c r="G18" i="3"/>
  <c r="H18" i="3" s="1"/>
  <c r="G12" i="4" s="1"/>
  <c r="I14" i="9"/>
  <c r="J14" i="9" s="1"/>
  <c r="H8" i="4" s="1"/>
  <c r="I18" i="9"/>
  <c r="J18" i="9" s="1"/>
  <c r="H12" i="4" s="1"/>
  <c r="F13" i="6"/>
  <c r="I19" i="9"/>
  <c r="J19" i="9" s="1"/>
  <c r="H13" i="4" s="1"/>
  <c r="I15" i="9"/>
  <c r="J15" i="9" s="1"/>
  <c r="H9" i="4" s="1"/>
  <c r="D12" i="3"/>
  <c r="F13" i="1"/>
  <c r="I20" i="9"/>
  <c r="J20" i="9" s="1"/>
  <c r="H14" i="4" s="1"/>
  <c r="D22" i="3"/>
  <c r="G12" i="9"/>
  <c r="I16" i="9"/>
  <c r="J16" i="9" s="1"/>
  <c r="H10" i="4" s="1"/>
  <c r="D21" i="3"/>
  <c r="C3" i="8"/>
  <c r="F20" i="1"/>
  <c r="G20" i="1" s="1"/>
  <c r="C14" i="4" s="1"/>
  <c r="G14" i="3"/>
  <c r="H14" i="3" s="1"/>
  <c r="G8" i="4" s="1"/>
  <c r="G21" i="3"/>
  <c r="H21" i="3" s="1"/>
  <c r="G15" i="4" s="1"/>
  <c r="D12" i="6"/>
  <c r="G12" i="6" s="1"/>
  <c r="I12" i="9"/>
  <c r="F21" i="6"/>
  <c r="D20" i="3"/>
  <c r="F20" i="6"/>
  <c r="I21" i="9"/>
  <c r="J21" i="9" s="1"/>
  <c r="H15" i="4" s="1"/>
  <c r="F19" i="6"/>
  <c r="E13" i="9"/>
  <c r="F21" i="1"/>
  <c r="G21" i="1" s="1"/>
  <c r="C15" i="4" s="1"/>
  <c r="F14" i="1"/>
  <c r="G14" i="1" s="1"/>
  <c r="C8" i="4" s="1"/>
  <c r="F18" i="6"/>
  <c r="I13" i="9"/>
  <c r="J13" i="9" s="1"/>
  <c r="H7" i="4" s="1"/>
  <c r="F17" i="6"/>
  <c r="D16" i="3"/>
  <c r="C2" i="8"/>
  <c r="F18" i="1"/>
  <c r="G18" i="1" s="1"/>
  <c r="C12" i="4" s="1"/>
  <c r="F21" i="8"/>
  <c r="G21" i="8" s="1"/>
  <c r="F16" i="8"/>
  <c r="G16" i="8" s="1"/>
  <c r="F12" i="8"/>
  <c r="G12" i="8" s="1"/>
  <c r="F18" i="8"/>
  <c r="G18" i="8" s="1"/>
  <c r="F13" i="8"/>
  <c r="G13" i="8" s="1"/>
  <c r="F19" i="8"/>
  <c r="G19" i="8" s="1"/>
  <c r="F14" i="8"/>
  <c r="G14" i="8" s="1"/>
  <c r="F20" i="8"/>
  <c r="G20" i="8" s="1"/>
  <c r="B15" i="6"/>
  <c r="D14" i="6"/>
  <c r="C14" i="6"/>
  <c r="C13" i="6"/>
  <c r="C14" i="8" l="1"/>
  <c r="C16" i="1"/>
  <c r="G14" i="7"/>
  <c r="D14" i="7"/>
  <c r="B15" i="7"/>
  <c r="H14" i="7"/>
  <c r="I14" i="7" s="1"/>
  <c r="C15" i="8"/>
  <c r="C13" i="8"/>
  <c r="C21" i="1"/>
  <c r="C19" i="1"/>
  <c r="C20" i="8"/>
  <c r="C21" i="8"/>
  <c r="G22" i="3"/>
  <c r="H22" i="3" s="1"/>
  <c r="G16" i="4" s="1"/>
  <c r="C18" i="8"/>
  <c r="C16" i="8"/>
  <c r="C18" i="1"/>
  <c r="C12" i="8"/>
  <c r="C14" i="1"/>
  <c r="C19" i="8"/>
  <c r="C17" i="1"/>
  <c r="F17" i="1" s="1"/>
  <c r="G17" i="1" s="1"/>
  <c r="C11" i="4" s="1"/>
  <c r="C17" i="8"/>
  <c r="F17" i="8" s="1"/>
  <c r="G17" i="8" s="1"/>
  <c r="C22" i="8"/>
  <c r="F22" i="8" s="1"/>
  <c r="C15" i="1"/>
  <c r="C4" i="7"/>
  <c r="C13" i="1"/>
  <c r="D12" i="8"/>
  <c r="F24" i="8"/>
  <c r="C6" i="4"/>
  <c r="C20" i="1"/>
  <c r="C12" i="1"/>
  <c r="E6" i="4"/>
  <c r="E13" i="8"/>
  <c r="E14" i="8"/>
  <c r="F8" i="4" s="1"/>
  <c r="E15" i="8"/>
  <c r="F9" i="4" s="1"/>
  <c r="E17" i="8"/>
  <c r="E18" i="8"/>
  <c r="E19" i="8"/>
  <c r="F13" i="4" s="1"/>
  <c r="E20" i="8"/>
  <c r="F14" i="4" s="1"/>
  <c r="E21" i="8"/>
  <c r="E22" i="8"/>
  <c r="E16" i="8"/>
  <c r="F10" i="4" s="1"/>
  <c r="F15" i="4"/>
  <c r="E13" i="6"/>
  <c r="G13" i="6" s="1"/>
  <c r="E18" i="6"/>
  <c r="E19" i="6"/>
  <c r="E20" i="6"/>
  <c r="E21" i="6"/>
  <c r="E22" i="6"/>
  <c r="E14" i="6"/>
  <c r="G14" i="6" s="1"/>
  <c r="E8" i="4" s="1"/>
  <c r="E15" i="6"/>
  <c r="E16" i="6"/>
  <c r="E17" i="6"/>
  <c r="J12" i="9"/>
  <c r="H6" i="4" s="1"/>
  <c r="F22" i="1"/>
  <c r="G22" i="1" s="1"/>
  <c r="C16" i="4" s="1"/>
  <c r="G13" i="1"/>
  <c r="E14" i="9"/>
  <c r="D15" i="6"/>
  <c r="C15" i="6"/>
  <c r="B16" i="6"/>
  <c r="F23" i="8" l="1"/>
  <c r="F25" i="8" s="1"/>
  <c r="G22" i="8"/>
  <c r="G23" i="8" s="1"/>
  <c r="G25" i="8" s="1"/>
  <c r="G15" i="7"/>
  <c r="H15" i="7" s="1"/>
  <c r="I15" i="7" s="1"/>
  <c r="D15" i="7"/>
  <c r="B16" i="7"/>
  <c r="K15" i="7"/>
  <c r="C26" i="3"/>
  <c r="G19" i="4" s="1"/>
  <c r="C25" i="3"/>
  <c r="G18" i="4" s="1"/>
  <c r="E23" i="8"/>
  <c r="E25" i="8" s="1"/>
  <c r="C3" i="7"/>
  <c r="C16" i="7"/>
  <c r="E16" i="7" s="1"/>
  <c r="C14" i="7"/>
  <c r="E14" i="7" s="1"/>
  <c r="C15" i="7"/>
  <c r="E15" i="7" s="1"/>
  <c r="L15" i="7" s="1"/>
  <c r="C13" i="7"/>
  <c r="E13" i="7" s="1"/>
  <c r="C12" i="7"/>
  <c r="F11" i="4"/>
  <c r="F16" i="4"/>
  <c r="F12" i="4"/>
  <c r="C26" i="8"/>
  <c r="F19" i="4" s="1"/>
  <c r="C26" i="1"/>
  <c r="C19" i="4" s="1"/>
  <c r="F6" i="4"/>
  <c r="C7" i="4"/>
  <c r="C25" i="1"/>
  <c r="C18" i="4" s="1"/>
  <c r="E15" i="9"/>
  <c r="E16" i="9"/>
  <c r="B17" i="6"/>
  <c r="D16" i="6"/>
  <c r="C16" i="6"/>
  <c r="G15" i="6"/>
  <c r="E9" i="4" s="1"/>
  <c r="F7" i="4"/>
  <c r="E7" i="4"/>
  <c r="L14" i="7" l="1"/>
  <c r="D8" i="4" s="1"/>
  <c r="L13" i="7"/>
  <c r="D7" i="4" s="1"/>
  <c r="D9" i="4"/>
  <c r="G16" i="7"/>
  <c r="H16" i="7" s="1"/>
  <c r="I16" i="7" s="1"/>
  <c r="D16" i="7"/>
  <c r="B17" i="7"/>
  <c r="K16" i="7"/>
  <c r="L16" i="7" s="1"/>
  <c r="C25" i="8"/>
  <c r="F18" i="4" s="1"/>
  <c r="G16" i="6"/>
  <c r="E17" i="9"/>
  <c r="D17" i="6"/>
  <c r="C17" i="6"/>
  <c r="B18" i="6"/>
  <c r="D10" i="4" l="1"/>
  <c r="G17" i="7"/>
  <c r="H17" i="7" s="1"/>
  <c r="I17" i="7" s="1"/>
  <c r="D17" i="7"/>
  <c r="B18" i="7"/>
  <c r="C17" i="7"/>
  <c r="E10" i="4"/>
  <c r="E18" i="9"/>
  <c r="B19" i="6"/>
  <c r="D18" i="6"/>
  <c r="G18" i="6" s="1"/>
  <c r="E12" i="4" s="1"/>
  <c r="C18" i="6"/>
  <c r="G17" i="6"/>
  <c r="G18" i="7" l="1"/>
  <c r="H18" i="7" s="1"/>
  <c r="I18" i="7" s="1"/>
  <c r="D18" i="7"/>
  <c r="B19" i="7"/>
  <c r="K18" i="7"/>
  <c r="C18" i="7"/>
  <c r="E18" i="7" s="1"/>
  <c r="L18" i="7" s="1"/>
  <c r="K17" i="7"/>
  <c r="E17" i="7"/>
  <c r="L17" i="7" s="1"/>
  <c r="E19" i="9"/>
  <c r="E11" i="4"/>
  <c r="D19" i="6"/>
  <c r="C19" i="6"/>
  <c r="B20" i="6"/>
  <c r="D11" i="4" l="1"/>
  <c r="D12" i="4"/>
  <c r="G19" i="7"/>
  <c r="H19" i="7" s="1"/>
  <c r="I19" i="7" s="1"/>
  <c r="D19" i="7"/>
  <c r="B20" i="7"/>
  <c r="K19" i="7"/>
  <c r="C19" i="7"/>
  <c r="E19" i="7" s="1"/>
  <c r="E20" i="9"/>
  <c r="B21" i="6"/>
  <c r="D20" i="6"/>
  <c r="C20" i="6"/>
  <c r="G19" i="6"/>
  <c r="L19" i="7" l="1"/>
  <c r="D13" i="4"/>
  <c r="G20" i="7"/>
  <c r="H20" i="7" s="1"/>
  <c r="I20" i="7" s="1"/>
  <c r="D20" i="7"/>
  <c r="B21" i="7"/>
  <c r="K20" i="7"/>
  <c r="C20" i="7"/>
  <c r="E20" i="7" s="1"/>
  <c r="L20" i="7" s="1"/>
  <c r="G20" i="6"/>
  <c r="E14" i="4" s="1"/>
  <c r="E21" i="9"/>
  <c r="E13" i="4"/>
  <c r="D21" i="6"/>
  <c r="C21" i="6"/>
  <c r="B22" i="6"/>
  <c r="D21" i="7" l="1"/>
  <c r="G21" i="7"/>
  <c r="H21" i="7" s="1"/>
  <c r="I21" i="7" s="1"/>
  <c r="B22" i="7"/>
  <c r="K21" i="7"/>
  <c r="C21" i="7"/>
  <c r="E21" i="7" s="1"/>
  <c r="E22" i="9"/>
  <c r="D22" i="6"/>
  <c r="C22" i="6"/>
  <c r="F22" i="6" s="1"/>
  <c r="G21" i="6"/>
  <c r="L21" i="7" l="1"/>
  <c r="D15" i="4"/>
  <c r="D22" i="7"/>
  <c r="G22" i="7"/>
  <c r="H22" i="7" s="1"/>
  <c r="I22" i="7" s="1"/>
  <c r="I23" i="7" s="1"/>
  <c r="I24" i="7" s="1"/>
  <c r="C22" i="7"/>
  <c r="E22" i="7" s="1"/>
  <c r="D14" i="4"/>
  <c r="F22" i="9"/>
  <c r="I22" i="9" s="1"/>
  <c r="C26" i="6"/>
  <c r="E19" i="4" s="1"/>
  <c r="E15" i="4"/>
  <c r="G22" i="6"/>
  <c r="K22" i="7" l="1"/>
  <c r="C26" i="7" s="1"/>
  <c r="D19" i="4" s="1"/>
  <c r="L22" i="7"/>
  <c r="J22" i="9"/>
  <c r="C26" i="9"/>
  <c r="H19" i="4" s="1"/>
  <c r="E16" i="4"/>
  <c r="H16" i="4"/>
  <c r="C25" i="9"/>
  <c r="H18" i="4" s="1"/>
  <c r="C25" i="6"/>
  <c r="E18" i="4" s="1"/>
  <c r="D16" i="4" l="1"/>
  <c r="C25" i="7"/>
  <c r="D18" i="4" s="1"/>
</calcChain>
</file>

<file path=xl/sharedStrings.xml><?xml version="1.0" encoding="utf-8"?>
<sst xmlns="http://schemas.openxmlformats.org/spreadsheetml/2006/main" count="279" uniqueCount="166">
  <si>
    <t>Investment Amount (INR Cr)</t>
  </si>
  <si>
    <t>Equity Stake (%)</t>
  </si>
  <si>
    <t>Initial Company Valuation (INR Cr)</t>
  </si>
  <si>
    <t>Growth Rate (%)</t>
  </si>
  <si>
    <t>Partial Exit Year</t>
  </si>
  <si>
    <t>Full Exit Year</t>
  </si>
  <si>
    <t>Year</t>
  </si>
  <si>
    <t>Calculated IRR</t>
  </si>
  <si>
    <t>Annual Dividend (% of Investment)</t>
  </si>
  <si>
    <t>MOIC</t>
  </si>
  <si>
    <t>Multiple on Invested Capital (MOIC)</t>
  </si>
  <si>
    <t>Pre-money Valuation (₹ Cr)</t>
  </si>
  <si>
    <t>Revenue Multiple for Valuation</t>
  </si>
  <si>
    <t>Inputs</t>
  </si>
  <si>
    <t>Assumptions</t>
  </si>
  <si>
    <t>Calculations</t>
  </si>
  <si>
    <t>Results</t>
  </si>
  <si>
    <t>n/a</t>
  </si>
  <si>
    <t xml:space="preserve">Year </t>
  </si>
  <si>
    <t>Partial Exit % of Stake (% of the stake of ABC Group)</t>
  </si>
  <si>
    <t xml:space="preserve">Valuation Growth rate </t>
  </si>
  <si>
    <t xml:space="preserve">Regular revenvue </t>
  </si>
  <si>
    <t xml:space="preserve">Net cashflows for ABC Group </t>
  </si>
  <si>
    <t>Valuation of the company</t>
  </si>
  <si>
    <t>All amounts in INR Crore</t>
  </si>
  <si>
    <t>Investmnet from ABC Group</t>
  </si>
  <si>
    <t>Inflow from sale of stake</t>
  </si>
  <si>
    <t>Pre-money valuation of the company (INR Cr)</t>
  </si>
  <si>
    <t>Option 1</t>
  </si>
  <si>
    <t>Option 2</t>
  </si>
  <si>
    <t>Option 3</t>
  </si>
  <si>
    <t>Revenue (INR Cr)</t>
  </si>
  <si>
    <t>Revenue of the Start-up</t>
  </si>
  <si>
    <t>Cashflows for ABC Group (in INR Cr)</t>
  </si>
  <si>
    <t xml:space="preserve">Check </t>
  </si>
  <si>
    <t xml:space="preserve">Option 1 - Scenario b </t>
  </si>
  <si>
    <t xml:space="preserve">Option 2 - Scenario b </t>
  </si>
  <si>
    <t xml:space="preserve">Option 3 - Scenario b </t>
  </si>
  <si>
    <t xml:space="preserve">Profit accumulation rate </t>
  </si>
  <si>
    <t xml:space="preserve">Proits % </t>
  </si>
  <si>
    <t>Yearly profit as a % of revenue  (Negative denotes loss)</t>
  </si>
  <si>
    <t>Accumulated profits (losses) at start of prohjection (INR Cr)</t>
  </si>
  <si>
    <t xml:space="preserve">Accumulated profits </t>
  </si>
  <si>
    <t>Accumulated profits Multiple for Valuation</t>
  </si>
  <si>
    <t>IRR</t>
  </si>
  <si>
    <t>Option 1 - a</t>
  </si>
  <si>
    <t>Option 1 - b</t>
  </si>
  <si>
    <t>Option 2 - a</t>
  </si>
  <si>
    <t>Option 2 - b</t>
  </si>
  <si>
    <t>Option 3 - a</t>
  </si>
  <si>
    <t>Option 3 - b</t>
  </si>
  <si>
    <t>Other inputs and assumptions</t>
  </si>
  <si>
    <t>Methodology</t>
  </si>
  <si>
    <t>Observation</t>
  </si>
  <si>
    <t xml:space="preserve">Next steps </t>
  </si>
  <si>
    <t>Investment from ABC Group</t>
  </si>
  <si>
    <t xml:space="preserve">Profit for the year </t>
  </si>
  <si>
    <t>Cost of the Road</t>
  </si>
  <si>
    <t>Annual Dividend (% of value of the road)</t>
  </si>
  <si>
    <t>Background and Objective</t>
  </si>
  <si>
    <t>ABC Group Limited is actively exploring opportunities to expand into new business segments. To support this initiative, the CIO’s team has conducted detailed due diligence and provided key financial insights on potential investment options. The Group is considering a 10-year investment horizon and is prepared to invest between INR 1,000–1,500 crore across these opportunities.
Following preliminary analysis, the team has shortlisted three potential investment opportunities, all of which have shown positive results from initial due diligence. The objective of this exercise is to project cash flows over a 10-year period and assess expected returns for each scenario using two key metrics: Internal Rate of Return (IRR) and Multiple on Invested Capital (MOIC).</t>
  </si>
  <si>
    <t xml:space="preserve">The following inputs are used in the projection </t>
  </si>
  <si>
    <t>Analyse which business area meets the vision of ABC Group Limited</t>
  </si>
  <si>
    <t xml:space="preserve">Evaluate if the growth outlook of the target companies will change with ABC Group investing </t>
  </si>
  <si>
    <t xml:space="preserve">Evaluate the source of funds for ABC Group to invest in these companies </t>
  </si>
  <si>
    <t>Analyse if there will be any tax implications and see the returns net of tax</t>
  </si>
  <si>
    <t>Review the revenue and profit projection for the InsurTech start-up</t>
  </si>
  <si>
    <t xml:space="preserve">Review the timelines for entering into the deal </t>
  </si>
  <si>
    <t>Project the model for longer term, say 15 years, 20 years, to see the expected return if ABC Group stays longer</t>
  </si>
  <si>
    <t>Calculate the return assuming a full exit for ABC Group in short term - 3 years or 5 years</t>
  </si>
  <si>
    <t xml:space="preserve">Include an expected costs with each of the Option </t>
  </si>
  <si>
    <t xml:space="preserve">Monitor the performance of the target companies closely before and after the deal to estimate the impact on the valuation </t>
  </si>
  <si>
    <t xml:space="preserve">Inputs and Assumptions </t>
  </si>
  <si>
    <t>Projected revenue &amp; profit  assumption under Option 3</t>
  </si>
  <si>
    <t>The following assumptions are also made for calculation of growth and valuation of the target companies</t>
  </si>
  <si>
    <t>Besides, the following additional assumptions are made</t>
  </si>
  <si>
    <t>1. ABC Group has the available funds to invest</t>
  </si>
  <si>
    <t xml:space="preserve">2. There is no reinvestment risk of the cashflows received </t>
  </si>
  <si>
    <t>3. No impact of taxes are considered</t>
  </si>
  <si>
    <t xml:space="preserve">4. No change in valuation projection of the target companies with ABC Group becoming their equity partners. </t>
  </si>
  <si>
    <t>The comparison of cashflows under Scenario a v/s Scenario b for each of the three options is shown below</t>
  </si>
  <si>
    <t>IRR in all these 6 cases in between 14.4% to 18.5%</t>
  </si>
  <si>
    <t>MOIC also in all cases is greater than 1</t>
  </si>
  <si>
    <t>The deal value will be very sensitive to what valuation method is used at the end of year 10 and the multiples used</t>
  </si>
  <si>
    <t xml:space="preserve">With the assumptions used, it is more profitable for ABC Group that valuation is set based on multiple of annual revenue. </t>
  </si>
  <si>
    <t xml:space="preserve">Conclusion </t>
  </si>
  <si>
    <t>Identify which result matrix is crucial for ABC Group - IRR or MOIC</t>
  </si>
  <si>
    <t>Options and Scenarios considered</t>
  </si>
  <si>
    <t>The IRR under each of the Option and scenario is positive. The IRRs of each of the cashflows are not significantly different from each other</t>
  </si>
  <si>
    <t>However, Scenario b is yielding higher IRR. Thus, taking a early exit is beneficial. This is primarily because the valuation growth rate of the target company is lower than the IRR expected on the deal</t>
  </si>
  <si>
    <t>The InsurTech has high losses at the initial years, causing lower accumulated profit value at the end of 10th year and thus low valuation in scenario b</t>
  </si>
  <si>
    <t>Peer review of the due diligence results to ensure all critical aspects - business, finance, legal, tax - are considered</t>
  </si>
  <si>
    <t>Review the valuation growth rate assumptions used</t>
  </si>
  <si>
    <t xml:space="preserve">Speak to valuation experts to verify the valuation multiple and approach used for the start-up valuation </t>
  </si>
  <si>
    <t xml:space="preserve">Thoroughly check the inputs used in the model and they are in line with the Due diligence results </t>
  </si>
  <si>
    <t xml:space="preserve">Reasonableness checks: </t>
  </si>
  <si>
    <t>Evaluate other metrices which may be relevant e.g., ROCE, NPV (computed at industry-specific hurdle rates), etc.</t>
  </si>
  <si>
    <t>Investigate if there are alternative opportunities available.</t>
  </si>
  <si>
    <t>Check feasibility of investing partially in multiple projects instead of just one of the three. This can help in diversification as well as optimization across different metrices</t>
  </si>
  <si>
    <t xml:space="preserve">7. Partial exits are possible as planned, irrespective of valuations or economic environment at that point in time </t>
  </si>
  <si>
    <t>8. The inputs (esp. valuation estimates) provided are correct</t>
  </si>
  <si>
    <t>9. In option 2 (Road project), the annual income is net of all the expenses to be incurred for road maintenance</t>
  </si>
  <si>
    <t>10. There are no better opportunities available other than 3 of these</t>
  </si>
  <si>
    <t>11. The inclination of management to invest across projects is not a function of industry they are investing in</t>
  </si>
  <si>
    <t>12. The investment targets (IRRs or MOIC) are final metrices and management is okay to take a decision based on these irrespective of industry</t>
  </si>
  <si>
    <t>13. All companies, including the start-up under Option 3 will continue to exist for 10 years.</t>
  </si>
  <si>
    <t>5. All cashflows are assumed to occur at the end of the projected year</t>
  </si>
  <si>
    <t>Identify the Risk discount rate for ABC Group limited to identify the minimum IRR required. This can vary by the nature of industry as well.</t>
  </si>
  <si>
    <t>% Stake</t>
  </si>
  <si>
    <t>Additional assumptions - For additional scenarios</t>
  </si>
  <si>
    <t xml:space="preserve">6. There are no transaction costs involved in capital investments. Even if there are, they are immaterial and will not impact the investment decision </t>
  </si>
  <si>
    <t xml:space="preserve">Annual revenue growth rate </t>
  </si>
  <si>
    <t>Investment from ABC Group - Equity</t>
  </si>
  <si>
    <t xml:space="preserve">Revised equity capital infusion </t>
  </si>
  <si>
    <t xml:space="preserve">Investment in exchnage of royalty </t>
  </si>
  <si>
    <t xml:space="preserve">Target realisation amount of the royalty investment </t>
  </si>
  <si>
    <t>Investment from ABC Group - for Royalty</t>
  </si>
  <si>
    <t xml:space="preserve">Annual revenue of the manufacturing company </t>
  </si>
  <si>
    <t xml:space="preserve">Accumulated payment </t>
  </si>
  <si>
    <t>Royalty payment provision</t>
  </si>
  <si>
    <t xml:space="preserve">% of annual revenue to be paid as royalty payment </t>
  </si>
  <si>
    <t xml:space="preserve">Final royalty payment </t>
  </si>
  <si>
    <t>MOIC is between 2.6 to 4.97</t>
  </si>
  <si>
    <t>1. The total royalty payment in Option 1.b is twice of the initial investment value (i.e. 2*600 = 1200)</t>
  </si>
  <si>
    <t xml:space="preserve">Besides, the following additional inputs are used for the additional scenarios </t>
  </si>
  <si>
    <t>2. The annual revenue under Option 1.b in the 10th year = Annual revenue in the current year *(1+10%)^5*(1+7%)^5</t>
  </si>
  <si>
    <t>3. The net cashflows in Option 2 - Scenario b is less than Scenario a. This is because  ABC Group will take a partial exit in Scenario b and net income (undiscounted) will be low</t>
  </si>
  <si>
    <t>4. The regular revenue under Option 2, Scenario b in year 6 is reduced in the proportion of partial exit made at the end of year 5</t>
  </si>
  <si>
    <t xml:space="preserve">If ABC Group is able to take royalty payments to double its investments, the IRR is higher than 100% equity investment, </t>
  </si>
  <si>
    <t>However, under the Royalty payment scenarios, the payments happen over first 8 years. But in absolute terms, this is lower than keeping equity option till 10 years. Hence, while IRR is better with Royalty, MOIC is lower</t>
  </si>
  <si>
    <t>Thus, Option 1.b is better than 1.a. is respect of IRR and other risk factors</t>
  </si>
  <si>
    <t xml:space="preserve">In terms of MOIC, the best deal will also be Option 3 scenario a, i.e. investing in the start-up with valuation at time of exit be a multiple of their annual revenue </t>
  </si>
  <si>
    <t xml:space="preserve">In terms of IRR, the best deal will be Option 3 scenario a - i.e. investing in the Insur-tech with valuation based on its annual revenue. </t>
  </si>
  <si>
    <t xml:space="preserve">However, the choice of valuation method at the end of 10th year, will not be in the hands of ABC group. Hence, ABC Group should carefully evaluate Option 3. </t>
  </si>
  <si>
    <t xml:space="preserve">This also indicate that the underlying growth of the valuation of these companies under Option 1 and Option 2 is not very strong and it is making sense for ABC Group to not be invested for long . </t>
  </si>
  <si>
    <t>See if there are any reinvestment risks in Option 2 on the regular income source and for royalty payments in Option 1.b</t>
  </si>
  <si>
    <t xml:space="preserve">Option 1.b also allows more liquidity to ABC group in terms of Royalty payment </t>
  </si>
  <si>
    <t>MOIC for the Royalty part is 2 as that is what the ask is. It is the MOIC on the equity part, which drives the overall MOIC</t>
  </si>
  <si>
    <t xml:space="preserve">Expressing payments as a % of revenue will make increase the certainty of the Royalty payment </t>
  </si>
  <si>
    <t>Scenario a will give higher MOIC because the absolute values of the cash inflows will be higher the longer ABC Group is invested in . In scenario b, because of partial exit, the absolute values of cashflows in low</t>
  </si>
  <si>
    <t>Annual revenue in previous year</t>
  </si>
  <si>
    <t xml:space="preserve">As, MOIC does not capture time value of money - it is not a very strong performance indicator. </t>
  </si>
  <si>
    <t>In Option 1.b for the Royalty part, MOIC is 2. For the equity part, it is same as in Option 1.a. Thus the combined effect is a MOIC in between 2 and that under 1.a.</t>
  </si>
  <si>
    <t xml:space="preserve">Option 1.b. and Option 2.b also has strong IRR (close to that of Option 3.a). Thus, if IRR is to be given importance instead of MOIC, choosing options where ABC Group gets inflows earlier seems better option </t>
  </si>
  <si>
    <t>The other point to take note of is that with the partial exit, while there is a bulk inflow at the end of 5th year, the regular cashflows in year 6-10 reduce</t>
  </si>
  <si>
    <t>The net cashflows and key results for all the Options and their scenarios is provided in the table below. Key results include IRR and MOIC. These have been separately calculation for all 3 Options along with their 2 scenarios each</t>
  </si>
  <si>
    <t>These graphs show the cashflows over the next 10 year period between Scenarios a &amp; b for each of the three Options</t>
  </si>
  <si>
    <t>Calculation for Option 1</t>
  </si>
  <si>
    <t>Calculation for Option 2</t>
  </si>
  <si>
    <t>Annual income or revenue received - This is applicable only under Option 2. In case of partial exit, the revenue is calculated only on the remaining stake</t>
  </si>
  <si>
    <t>Calculation for Option 3</t>
  </si>
  <si>
    <t>Again, similar calculations are done under Option 3 , as under Option 1 and 2. Key difference is the valuation of the start-up company. Both at the time of entry and exit.</t>
  </si>
  <si>
    <t>Entry value - Equity Stake (%) for Option 3 are calculated as : [ Equity stake % = Amount Invested by ABC Group / (Pre-money Valuation of the Target Company + Amount Invested by ABC Group)]</t>
  </si>
  <si>
    <t>1. Option 3.a. provided maximum IRR and MOIC. However, in Option 3 - the key risk is that the valuation in future is very uncertain and the choice of valuation method will not be completely in the hands of ABC Group. Hence, if this deal is made, care should be taken to regularly monitor the performance of the InsurTech
2. Option 2 (investing in the highway project) and Option 1.b (investing in the manacling company with half of the investment as zero interest debt with royalty payments), provides regular cash inflow to ABC Group, are  also attractive options. The IRR in these options is also competitive</t>
  </si>
  <si>
    <t>Validation of inputs</t>
  </si>
  <si>
    <t xml:space="preserve">Key results, Objectives of ABC </t>
  </si>
  <si>
    <t>Modifying the implicit assumptions used</t>
  </si>
  <si>
    <t>Others</t>
  </si>
  <si>
    <t>The approach is similar to that under Option1. Changes are made in the calculation to reflect the cashflows which apply to Option1  but not to Option 2 or vice-versa</t>
  </si>
  <si>
    <t>The results are compared in the following graphs. The first two graphs show how IRR and MOIC change between the Options and scenarios</t>
  </si>
  <si>
    <r>
      <t xml:space="preserve">Option 1 – Manufacturing Company
A mid-sized manufacturing company producing industrial consumables, experiencing strong demand, requires capital to expand and set up a new unit. ABC Group Limited plans to invest INR 1,200 crore for a 30% equity stake. The Group intends to make a partial exit after five years, followed by a full exit at the end of ten years.
Scenario a: Entire INR 1,200 crore invested upfront.
</t>
    </r>
    <r>
      <rPr>
        <sz val="11"/>
        <color theme="1"/>
        <rFont val="Calibri"/>
        <family val="2"/>
        <scheme val="minor"/>
      </rPr>
      <t>Scenario b: INR 600 Cr invested as equity and another INR 600 Provided as zero interest debt in return of royalty till 2x of the same in received
Option 2 - Highway Project
A road development company has recently completed a long toll road under the Hybrid Annuity Model and is willing to divest its stake. ABC Group Limited plans to invest INR 1,575 crore for a 45% equity stake, participating in fixed annuity payments from the government.
Scenario a: ABC Group sells its entire stake at the end of Year 10.
Scenario b: ABC Group sells a portion of its stake at the end of Year 5 and the remaining stake at the end of Year 10.
Option 3 – InsurTech Start-up
An InsurTech start-up leveraging AI/ML technologies to sell health insurance and provide preventive care solutions is seeking a promoter shareholder. The start-up has a pre-money valuation of INR 1,300 crore, and ABC Group plans to invest INR 1,200 crore, resulting in a 48% equity stake. ABC Group intends to fully exit at the end of ten years.
Scenario a: The start-up is valued at the end of Year 10 as a multiple of its annual revenue.
Scenario b: The start-up is valued at the end of Year 10 as a multiple of accumulated profits.</t>
    </r>
  </si>
  <si>
    <r>
      <rPr>
        <u/>
        <sz val="11"/>
        <color theme="1"/>
        <rFont val="Calibri"/>
        <family val="2"/>
        <scheme val="minor"/>
      </rPr>
      <t xml:space="preserve">The calculation has been done for all three options and their corresponding scenarios separately. For each of them, </t>
    </r>
    <r>
      <rPr>
        <sz val="11"/>
        <color theme="1"/>
        <rFont val="Calibri"/>
        <family val="2"/>
        <scheme val="minor"/>
      </rPr>
      <t xml:space="preserve">
1. All projections have been carried out for a 10-year period, reflecting the Group’s 10-year investment horizon and assuming a complete exit at the end of Year 10.the calculation is shown for years labelled from Year 0 to Year 10. Year 0 denotes the commencement of the deal, i.e., the point at which ABC Group acquires its stake, and the investment is assumed to continue for the full 10-year horizon.
2. Equity Stake (%) for Option 1 and Option 2 are calculated as : [ Equity stake % = Amount Invested by ABC Group / Initial Valuation of the Target Company]
</t>
    </r>
    <r>
      <rPr>
        <u/>
        <sz val="11"/>
        <color theme="1"/>
        <rFont val="Calibri"/>
        <family val="2"/>
        <scheme val="minor"/>
      </rPr>
      <t xml:space="preserve">
The following cashflows key are considered:
</t>
    </r>
    <r>
      <rPr>
        <sz val="11"/>
        <color theme="1"/>
        <rFont val="Calibri"/>
        <family val="2"/>
        <scheme val="minor"/>
      </rPr>
      <t>1. Amount invested by ABC Group - This is shown under year 0. 
3. Amount received from the sale of the stake - Original Stake % × Proportion of Stake Sold × Company Valuation at the Time of Sale.
4. Net cashflows for ABC Group = - Investment Outflows + Regular Income + Proceeds from Stake Sale.</t>
    </r>
  </si>
  <si>
    <r>
      <rPr>
        <u/>
        <sz val="11"/>
        <color theme="1"/>
        <rFont val="Calibri"/>
        <family val="2"/>
        <scheme val="minor"/>
      </rPr>
      <t xml:space="preserve">Calculation of Royalty payments </t>
    </r>
    <r>
      <rPr>
        <sz val="11"/>
        <color theme="1"/>
        <rFont val="Calibri"/>
        <family val="2"/>
        <scheme val="minor"/>
      </rPr>
      <t xml:space="preserve">
In Option 1.b, first annual revenue of the underlying company is projected. Then a % of the same is taken as estimated royalty payment.
The royalty payment is only made till twice of the initial investment value is earned, 
In the last year of royalty payment , only a part of the projected royalty payment is made, such that the total payment value doesn't exceed twice of the investment value. </t>
    </r>
  </si>
  <si>
    <r>
      <t xml:space="preserve">Valuation of the target companies
</t>
    </r>
    <r>
      <rPr>
        <sz val="11"/>
        <color theme="1"/>
        <rFont val="Calibri"/>
        <family val="2"/>
        <scheme val="minor"/>
      </rPr>
      <t>The start valuation at the time is taken to grow the annual growth rate provided such that 
valuation at the end of 10th year = Valuation at the time of deal (1+Annual growth rate)^10</t>
    </r>
  </si>
  <si>
    <r>
      <t xml:space="preserve">Valuation of the target companies - Option 3
</t>
    </r>
    <r>
      <rPr>
        <sz val="11"/>
        <color theme="1"/>
        <rFont val="Calibri"/>
        <family val="2"/>
        <scheme val="minor"/>
      </rPr>
      <t xml:space="preserve">Under Scenario a : The annual revenue information is used. At the end of 10th year, the valuation =  annual revenue for 10th year * Revenue multiple 
Under Scenario b : the following steps are performed 
1. Annual profit = Annual revenue * Profit % for the year 
2. Accumulated profits at the end of 1st year = Accumulated profit (loss) at the beginning *( 1+ Accumulation rate) + Profit (loss) for year 1
3. Accumulated profits at the end of 2nd year = Accumulated profit (loss) at the end of year 1 *( 1+ Accumulation rate) + Profit (loss) for year 2
4. Similarly profits (losses) are accumulated till the end of year 10 
5. Valuation of the InsurTech = Accumulated profit at the end of year 10 * Accumulated profit multiple </t>
    </r>
  </si>
  <si>
    <r>
      <t xml:space="preserve">The following results matrices have been calculated 
</t>
    </r>
    <r>
      <rPr>
        <sz val="11"/>
        <color theme="1"/>
        <rFont val="Calibri"/>
        <family val="2"/>
        <scheme val="minor"/>
      </rPr>
      <t>1. Internal Rate of Return (IRR) for ABC Group’s investment, computed using Excel’s IRR function applied to the net cash flow series.
2. Multiple on Invested Capital (MOIC) for the proposed deal, calculated as: [Total Inflows during the Projection Period / Absolute Value of Total Outflows]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</si>
</sst>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quot;$&quot;#,##0.00_);[Red]\(&quot;$&quot;#,##0.00\)"/>
    <numFmt numFmtId="165" formatCode="_ * #,##0.0_ ;_ * \-#,##0.0_ ;_ * &quot;-&quot;??_ ;_ @_ "/>
    <numFmt numFmtId="166" formatCode="_ * #,##0_ ;_ * \-#,##0_ ;_ * &quot;-&quot;??_ ;_ @_ "/>
    <numFmt numFmtId="167" formatCode="0.000%"/>
    <numFmt numFmtId="168" formatCode="0.0%"/>
  </numFmts>
  <fonts count="10" x14ac:knownFonts="1">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
      <sz val="11"/>
      <color rgb="FF000000"/>
      <name val="Times New Roman"/>
      <family val="1"/>
    </font>
    <font>
      <sz val="11"/>
      <color rgb="FFFF0000"/>
      <name val="Times New Roman"/>
      <family val="1"/>
    </font>
    <font>
      <sz val="12"/>
      <color theme="1"/>
      <name val="Calibri"/>
      <family val="2"/>
      <scheme val="minor"/>
    </font>
    <font>
      <u/>
      <sz val="11"/>
      <color theme="1"/>
      <name val="Calibri"/>
      <family val="2"/>
      <scheme val="minor"/>
    </font>
    <font>
      <b/>
      <sz val="12"/>
      <color theme="1"/>
      <name val="Calibri"/>
      <family val="2"/>
      <scheme val="minor"/>
    </font>
  </fonts>
  <fills count="11">
    <fill>
      <patternFill patternType="none"/>
    </fill>
    <fill>
      <patternFill patternType="gray125"/>
    </fill>
    <fill>
      <patternFill patternType="solid">
        <fgColor theme="3"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4" tint="0.79995117038483843"/>
        <bgColor indexed="64"/>
      </patternFill>
    </fill>
    <fill>
      <patternFill patternType="solid">
        <fgColor theme="5" tint="0.59996337778862885"/>
        <bgColor indexed="64"/>
      </patternFill>
    </fill>
    <fill>
      <patternFill patternType="solid">
        <fgColor theme="5" tint="0.79995117038483843"/>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2" tint="-9.9978637043366805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s>
  <cellStyleXfs count="3">
    <xf numFmtId="0" fontId="0" fillId="0" borderId="0"/>
    <xf numFmtId="9" fontId="4" fillId="0" borderId="0" applyFont="0" applyFill="0" applyBorder="0" applyAlignment="0" applyProtection="0"/>
    <xf numFmtId="43" fontId="4" fillId="0" borderId="0" applyFont="0" applyFill="0" applyBorder="0" applyAlignment="0" applyProtection="0"/>
  </cellStyleXfs>
  <cellXfs count="95">
    <xf numFmtId="0" fontId="0" fillId="0" borderId="0" xfId="0"/>
    <xf numFmtId="0" fontId="2" fillId="2" borderId="1" xfId="0" applyFont="1" applyFill="1" applyBorder="1" applyAlignment="1">
      <alignment horizontal="center" vertical="center" wrapText="1"/>
    </xf>
    <xf numFmtId="166" fontId="0" fillId="0" borderId="1" xfId="2" applyNumberFormat="1" applyFont="1" applyBorder="1"/>
    <xf numFmtId="166" fontId="0" fillId="0" borderId="1" xfId="2" applyNumberFormat="1" applyFont="1" applyBorder="1" applyAlignment="1">
      <alignment vertical="center" wrapText="1"/>
    </xf>
    <xf numFmtId="0" fontId="2" fillId="5" borderId="1" xfId="0" applyFont="1" applyFill="1" applyBorder="1"/>
    <xf numFmtId="0" fontId="2" fillId="0" borderId="0" xfId="0" applyFont="1"/>
    <xf numFmtId="166" fontId="0" fillId="7" borderId="1" xfId="2" applyNumberFormat="1" applyFont="1" applyFill="1" applyBorder="1" applyAlignment="1">
      <alignment vertical="center" wrapText="1"/>
    </xf>
    <xf numFmtId="43" fontId="0" fillId="0" borderId="1" xfId="2" applyFont="1" applyBorder="1"/>
    <xf numFmtId="0" fontId="3" fillId="0" borderId="0" xfId="0" applyFont="1"/>
    <xf numFmtId="0" fontId="0" fillId="0" borderId="1" xfId="0" applyBorder="1"/>
    <xf numFmtId="0" fontId="0" fillId="0" borderId="1" xfId="0" applyBorder="1" applyAlignment="1">
      <alignment vertical="center" wrapText="1"/>
    </xf>
    <xf numFmtId="0" fontId="5" fillId="0" borderId="1" xfId="0" applyFont="1" applyBorder="1" applyAlignment="1">
      <alignment horizontal="right" vertical="center" wrapText="1"/>
    </xf>
    <xf numFmtId="0" fontId="5" fillId="0" borderId="1" xfId="0" applyFont="1" applyBorder="1" applyAlignment="1">
      <alignment vertical="center" wrapText="1"/>
    </xf>
    <xf numFmtId="9" fontId="6" fillId="0" borderId="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0" fontId="0" fillId="5" borderId="1" xfId="0" applyFill="1" applyBorder="1"/>
    <xf numFmtId="0" fontId="0" fillId="2" borderId="1" xfId="0" applyFill="1" applyBorder="1"/>
    <xf numFmtId="0" fontId="0" fillId="0" borderId="1" xfId="0"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0" fillId="0" borderId="1" xfId="0" applyBorder="1" applyAlignment="1">
      <alignment vertical="center"/>
    </xf>
    <xf numFmtId="10" fontId="0" fillId="0" borderId="0" xfId="1" applyNumberFormat="1" applyFont="1" applyAlignment="1">
      <alignment vertical="center"/>
    </xf>
    <xf numFmtId="166" fontId="0" fillId="0" borderId="0" xfId="2" applyNumberFormat="1" applyFont="1" applyAlignment="1">
      <alignment horizontal="center" vertical="center"/>
    </xf>
    <xf numFmtId="0" fontId="2" fillId="2" borderId="2" xfId="0" applyFont="1" applyFill="1" applyBorder="1" applyAlignment="1">
      <alignment vertical="center"/>
    </xf>
    <xf numFmtId="9" fontId="0" fillId="0" borderId="1" xfId="0" applyNumberFormat="1" applyBorder="1" applyAlignment="1">
      <alignment vertical="center"/>
    </xf>
    <xf numFmtId="0" fontId="1" fillId="0" borderId="1" xfId="0" applyFont="1" applyBorder="1" applyAlignment="1">
      <alignment vertical="center"/>
    </xf>
    <xf numFmtId="0" fontId="0" fillId="2" borderId="1" xfId="0" applyFill="1" applyBorder="1" applyAlignment="1">
      <alignment horizontal="center"/>
    </xf>
    <xf numFmtId="0" fontId="0" fillId="0" borderId="1" xfId="0" applyBorder="1" applyAlignment="1">
      <alignment horizontal="center"/>
    </xf>
    <xf numFmtId="0" fontId="2" fillId="5" borderId="1" xfId="0" applyFont="1" applyFill="1" applyBorder="1" applyAlignment="1">
      <alignment horizontal="center"/>
    </xf>
    <xf numFmtId="166" fontId="0" fillId="3" borderId="1" xfId="2" applyNumberFormat="1" applyFont="1" applyFill="1" applyBorder="1" applyAlignment="1">
      <alignment vertical="center"/>
    </xf>
    <xf numFmtId="9" fontId="0" fillId="0" borderId="1" xfId="1" applyFont="1" applyFill="1" applyBorder="1" applyAlignment="1">
      <alignment vertical="center"/>
    </xf>
    <xf numFmtId="9" fontId="0" fillId="3" borderId="1" xfId="1" applyFont="1" applyFill="1" applyBorder="1" applyAlignment="1">
      <alignment vertical="center"/>
    </xf>
    <xf numFmtId="0" fontId="2" fillId="5" borderId="1" xfId="0" applyFont="1" applyFill="1" applyBorder="1" applyAlignment="1">
      <alignment vertical="center"/>
    </xf>
    <xf numFmtId="0" fontId="0" fillId="2" borderId="1" xfId="0" applyFill="1" applyBorder="1" applyAlignment="1">
      <alignment vertical="center"/>
    </xf>
    <xf numFmtId="166" fontId="0" fillId="0" borderId="1" xfId="2" applyNumberFormat="1" applyFont="1" applyBorder="1" applyAlignment="1">
      <alignment vertical="center"/>
    </xf>
    <xf numFmtId="166" fontId="0" fillId="4" borderId="1" xfId="2" applyNumberFormat="1" applyFont="1" applyFill="1" applyBorder="1" applyAlignment="1">
      <alignment vertical="center"/>
    </xf>
    <xf numFmtId="1" fontId="0" fillId="0" borderId="0" xfId="0" applyNumberFormat="1" applyAlignment="1">
      <alignment vertical="center"/>
    </xf>
    <xf numFmtId="0" fontId="0" fillId="5" borderId="0" xfId="0" applyFill="1" applyAlignment="1">
      <alignment vertical="center"/>
    </xf>
    <xf numFmtId="9" fontId="0" fillId="4" borderId="1" xfId="0" applyNumberFormat="1" applyFill="1" applyBorder="1" applyAlignment="1">
      <alignment vertical="center"/>
    </xf>
    <xf numFmtId="43" fontId="0" fillId="4" borderId="1" xfId="2" applyFont="1" applyFill="1" applyBorder="1" applyAlignment="1">
      <alignment vertical="center"/>
    </xf>
    <xf numFmtId="167" fontId="0" fillId="0" borderId="1" xfId="1" applyNumberFormat="1" applyFont="1" applyFill="1" applyBorder="1" applyAlignment="1">
      <alignment vertical="center"/>
    </xf>
    <xf numFmtId="165" fontId="0" fillId="3" borderId="1" xfId="2" applyNumberFormat="1" applyFont="1" applyFill="1" applyBorder="1" applyAlignment="1">
      <alignment vertical="center"/>
    </xf>
    <xf numFmtId="0" fontId="0" fillId="2" borderId="1" xfId="0" applyFill="1" applyBorder="1" applyAlignment="1">
      <alignment horizontal="center" vertical="center"/>
    </xf>
    <xf numFmtId="0" fontId="0" fillId="3" borderId="1" xfId="0" applyFill="1" applyBorder="1" applyAlignment="1">
      <alignment vertical="center"/>
    </xf>
    <xf numFmtId="9" fontId="0" fillId="3" borderId="1" xfId="0" applyNumberFormat="1" applyFill="1" applyBorder="1" applyAlignment="1">
      <alignment vertical="center"/>
    </xf>
    <xf numFmtId="166" fontId="0" fillId="0" borderId="1" xfId="2" applyNumberFormat="1" applyFont="1" applyBorder="1" applyAlignment="1">
      <alignment horizontal="center" vertical="center"/>
    </xf>
    <xf numFmtId="166" fontId="0" fillId="0" borderId="0" xfId="2" applyNumberFormat="1" applyFont="1" applyAlignment="1">
      <alignment vertical="center"/>
    </xf>
    <xf numFmtId="9" fontId="0" fillId="4" borderId="1" xfId="1" applyFont="1" applyFill="1" applyBorder="1" applyAlignment="1">
      <alignment vertical="center"/>
    </xf>
    <xf numFmtId="164" fontId="0" fillId="0" borderId="0" xfId="0" applyNumberFormat="1" applyAlignment="1">
      <alignment vertical="center"/>
    </xf>
    <xf numFmtId="9" fontId="0" fillId="0" borderId="0" xfId="0" applyNumberFormat="1"/>
    <xf numFmtId="0" fontId="0" fillId="7" borderId="1" xfId="0" applyFill="1" applyBorder="1" applyAlignment="1">
      <alignment vertical="center"/>
    </xf>
    <xf numFmtId="9" fontId="0" fillId="7" borderId="1" xfId="1" applyFont="1" applyFill="1" applyBorder="1" applyAlignment="1">
      <alignment vertical="center"/>
    </xf>
    <xf numFmtId="0" fontId="0" fillId="2" borderId="2" xfId="0" applyFill="1" applyBorder="1" applyAlignment="1">
      <alignment vertical="center"/>
    </xf>
    <xf numFmtId="1" fontId="0" fillId="7" borderId="1" xfId="0" applyNumberFormat="1" applyFill="1" applyBorder="1" applyAlignment="1">
      <alignment vertical="center"/>
    </xf>
    <xf numFmtId="166" fontId="0" fillId="0" borderId="1" xfId="0" applyNumberFormat="1" applyBorder="1" applyAlignment="1">
      <alignment vertical="center"/>
    </xf>
    <xf numFmtId="0" fontId="0" fillId="6" borderId="1" xfId="0" applyFill="1" applyBorder="1" applyAlignment="1">
      <alignment vertical="center"/>
    </xf>
    <xf numFmtId="9" fontId="0" fillId="6" borderId="1" xfId="1" applyFont="1" applyFill="1" applyBorder="1" applyAlignment="1">
      <alignment vertical="center"/>
    </xf>
    <xf numFmtId="166" fontId="0" fillId="6" borderId="1" xfId="2" applyNumberFormat="1" applyFont="1" applyFill="1" applyBorder="1" applyAlignment="1">
      <alignment vertical="center"/>
    </xf>
    <xf numFmtId="10" fontId="0" fillId="0" borderId="0" xfId="0" applyNumberFormat="1" applyAlignment="1">
      <alignment vertical="center"/>
    </xf>
    <xf numFmtId="0" fontId="0" fillId="5" borderId="1" xfId="0" applyFill="1" applyBorder="1" applyAlignment="1">
      <alignment vertical="center"/>
    </xf>
    <xf numFmtId="166" fontId="0" fillId="0" borderId="1" xfId="2" applyNumberFormat="1" applyFont="1" applyFill="1" applyBorder="1" applyAlignment="1">
      <alignment vertical="center"/>
    </xf>
    <xf numFmtId="0" fontId="2" fillId="8" borderId="0" xfId="0" applyFont="1" applyFill="1" applyAlignment="1">
      <alignment vertical="center"/>
    </xf>
    <xf numFmtId="166" fontId="0" fillId="0" borderId="1" xfId="2" applyNumberFormat="1" applyFont="1" applyFill="1" applyBorder="1" applyAlignment="1">
      <alignment horizontal="center" vertical="center" wrapText="1"/>
    </xf>
    <xf numFmtId="0" fontId="0" fillId="0" borderId="1" xfId="0" applyBorder="1" applyAlignment="1">
      <alignment horizontal="center" vertical="center"/>
    </xf>
    <xf numFmtId="166" fontId="0" fillId="0" borderId="1" xfId="2" applyNumberFormat="1" applyFont="1" applyFill="1" applyBorder="1" applyAlignment="1">
      <alignment horizontal="center" vertical="center"/>
    </xf>
    <xf numFmtId="9" fontId="0" fillId="0" borderId="1" xfId="0" applyNumberFormat="1" applyBorder="1" applyAlignment="1">
      <alignment horizontal="center" vertical="center"/>
    </xf>
    <xf numFmtId="9" fontId="0" fillId="0" borderId="1" xfId="1" applyFont="1" applyFill="1" applyBorder="1" applyAlignment="1">
      <alignment horizontal="center" vertical="center"/>
    </xf>
    <xf numFmtId="9" fontId="0" fillId="0" borderId="0" xfId="1" applyFont="1" applyAlignment="1">
      <alignment vertical="center"/>
    </xf>
    <xf numFmtId="168" fontId="0" fillId="0" borderId="0" xfId="0" applyNumberFormat="1"/>
    <xf numFmtId="166" fontId="0" fillId="9" borderId="1" xfId="2" applyNumberFormat="1" applyFont="1" applyFill="1" applyBorder="1" applyAlignment="1">
      <alignment vertical="center"/>
    </xf>
    <xf numFmtId="0" fontId="8" fillId="0" borderId="0" xfId="0" applyFont="1" applyAlignment="1">
      <alignment wrapText="1"/>
    </xf>
    <xf numFmtId="0" fontId="3" fillId="0" borderId="0" xfId="0" applyFont="1" applyAlignment="1">
      <alignment wrapText="1"/>
    </xf>
    <xf numFmtId="0" fontId="7" fillId="0" borderId="0" xfId="0" applyFont="1"/>
    <xf numFmtId="0" fontId="2" fillId="0" borderId="1" xfId="0" applyFont="1" applyBorder="1" applyAlignment="1">
      <alignment vertical="center"/>
    </xf>
    <xf numFmtId="0" fontId="0" fillId="9" borderId="1" xfId="0" applyFill="1" applyBorder="1" applyAlignment="1">
      <alignment vertical="center"/>
    </xf>
    <xf numFmtId="9" fontId="0" fillId="9" borderId="1" xfId="0" applyNumberFormat="1" applyFill="1" applyBorder="1" applyAlignment="1">
      <alignment vertical="center"/>
    </xf>
    <xf numFmtId="0" fontId="0" fillId="9" borderId="1" xfId="0" applyFill="1" applyBorder="1" applyAlignment="1">
      <alignment horizontal="center" vertical="center"/>
    </xf>
    <xf numFmtId="1" fontId="0" fillId="0" borderId="1" xfId="0" applyNumberFormat="1" applyBorder="1" applyAlignment="1">
      <alignment vertical="center"/>
    </xf>
    <xf numFmtId="166" fontId="1" fillId="0" borderId="0" xfId="2" applyNumberFormat="1" applyFont="1" applyAlignment="1">
      <alignment vertical="center"/>
    </xf>
    <xf numFmtId="0" fontId="1" fillId="0" borderId="0" xfId="0" applyFont="1" applyAlignment="1">
      <alignment vertical="center"/>
    </xf>
    <xf numFmtId="9" fontId="0" fillId="0" borderId="1" xfId="1" applyFont="1" applyBorder="1" applyAlignment="1">
      <alignment vertical="center"/>
    </xf>
    <xf numFmtId="9" fontId="0" fillId="0" borderId="1" xfId="1" applyFont="1" applyBorder="1"/>
    <xf numFmtId="166" fontId="0" fillId="10" borderId="1" xfId="2" applyNumberFormat="1" applyFont="1" applyFill="1" applyBorder="1" applyAlignment="1">
      <alignment vertical="center"/>
    </xf>
    <xf numFmtId="0" fontId="0" fillId="5" borderId="1" xfId="0" applyFill="1" applyBorder="1" applyAlignment="1">
      <alignment horizontal="center" vertical="center"/>
    </xf>
    <xf numFmtId="0" fontId="0" fillId="5" borderId="1" xfId="0" applyFill="1" applyBorder="1" applyAlignment="1">
      <alignment horizontal="center" vertical="center" wrapText="1"/>
    </xf>
    <xf numFmtId="0" fontId="0" fillId="0" borderId="1" xfId="0" applyBorder="1" applyAlignment="1">
      <alignment vertical="center" wrapText="1"/>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0" fillId="0" borderId="4" xfId="0" applyBorder="1" applyAlignment="1">
      <alignment wrapText="1"/>
    </xf>
    <xf numFmtId="0" fontId="0" fillId="0" borderId="0" xfId="0" applyFont="1"/>
    <xf numFmtId="0" fontId="9" fillId="0" borderId="0" xfId="0" applyFont="1"/>
    <xf numFmtId="0" fontId="0" fillId="0" borderId="0" xfId="0" applyFont="1" applyAlignment="1">
      <alignment wrapText="1"/>
    </xf>
    <xf numFmtId="0" fontId="0" fillId="0" borderId="0" xfId="0" applyFont="1" applyAlignment="1">
      <alignment vertical="top" wrapText="1"/>
    </xf>
  </cellXfs>
  <cellStyles count="3">
    <cellStyle name="Comma" xfId="2" builtinId="3"/>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IN" sz="1400" b="0" i="0" u="none" baseline="0">
                <a:solidFill>
                  <a:schemeClr val="tx1">
                    <a:lumMod val="65000"/>
                    <a:lumOff val="35000"/>
                  </a:schemeClr>
                </a:solidFill>
                <a:latin typeface="+mn-lt"/>
                <a:ea typeface="+mn-ea"/>
                <a:cs typeface="+mn-cs"/>
              </a:rPr>
              <a:t>Net cashflows for ABC Group from the inv. in Option 1 (INR Cr)</a:t>
            </a:r>
          </a:p>
        </c:rich>
      </c:tx>
      <c:overlay val="0"/>
      <c:spPr>
        <a:noFill/>
        <a:ln w="9525">
          <a:noFill/>
        </a:ln>
        <a:effectLst/>
      </c:spPr>
    </c:title>
    <c:autoTitleDeleted val="0"/>
    <c:plotArea>
      <c:layout/>
      <c:lineChart>
        <c:grouping val="standard"/>
        <c:varyColors val="0"/>
        <c:ser>
          <c:idx val="1"/>
          <c:order val="0"/>
          <c:tx>
            <c:strRef>
              <c:f>'Results and Graphs'!$C$5</c:f>
              <c:strCache>
                <c:ptCount val="1"/>
                <c:pt idx="0">
                  <c:v>Option 1 - a</c:v>
                </c:pt>
              </c:strCache>
            </c:strRef>
          </c:tx>
          <c:spPr>
            <a:ln w="28575" cap="rnd" cmpd="sng">
              <a:solidFill>
                <a:schemeClr val="accent2"/>
              </a:solidFill>
              <a:round/>
            </a:ln>
            <a:effectLst/>
          </c:spPr>
          <c:marker>
            <c:symbol val="circle"/>
            <c:size val="5"/>
            <c:spPr>
              <a:solidFill>
                <a:schemeClr val="accent2"/>
              </a:solidFill>
              <a:ln w="9525" cap="flat" cmpd="sng">
                <a:solidFill>
                  <a:schemeClr val="accent2"/>
                </a:solidFill>
              </a:ln>
              <a:effectLst/>
            </c:spPr>
          </c:marker>
          <c:val>
            <c:numRef>
              <c:f>'Results and Graphs'!$C$6:$C$16</c:f>
              <c:numCache>
                <c:formatCode>_ * #,##0_ ;_ * \-#,##0_ ;_ * "-"??_ ;_ @_ </c:formatCode>
                <c:ptCount val="11"/>
                <c:pt idx="0">
                  <c:v>-1200</c:v>
                </c:pt>
                <c:pt idx="1">
                  <c:v>0</c:v>
                </c:pt>
                <c:pt idx="2">
                  <c:v>0</c:v>
                </c:pt>
                <c:pt idx="3">
                  <c:v>0</c:v>
                </c:pt>
                <c:pt idx="4">
                  <c:v>0</c:v>
                </c:pt>
                <c:pt idx="5">
                  <c:v>965.45144999999957</c:v>
                </c:pt>
                <c:pt idx="6">
                  <c:v>0</c:v>
                </c:pt>
                <c:pt idx="7">
                  <c:v>0</c:v>
                </c:pt>
                <c:pt idx="8">
                  <c:v>0</c:v>
                </c:pt>
                <c:pt idx="9">
                  <c:v>0</c:v>
                </c:pt>
                <c:pt idx="10">
                  <c:v>2912.8015697096926</c:v>
                </c:pt>
              </c:numCache>
            </c:numRef>
          </c:val>
          <c:smooth val="0"/>
          <c:extLst>
            <c:ext xmlns:c16="http://schemas.microsoft.com/office/drawing/2014/chart" uri="{C3380CC4-5D6E-409C-BE32-E72D297353CC}">
              <c16:uniqueId val="{00000000-5370-4D38-8232-BB8EFFCEA465}"/>
            </c:ext>
          </c:extLst>
        </c:ser>
        <c:ser>
          <c:idx val="2"/>
          <c:order val="1"/>
          <c:tx>
            <c:strRef>
              <c:f>'Results and Graphs'!$D$5</c:f>
              <c:strCache>
                <c:ptCount val="1"/>
                <c:pt idx="0">
                  <c:v>Option 1 - b</c:v>
                </c:pt>
              </c:strCache>
            </c:strRef>
          </c:tx>
          <c:spPr>
            <a:ln w="28575" cap="rnd" cmpd="sng">
              <a:solidFill>
                <a:schemeClr val="accent3"/>
              </a:solidFill>
              <a:round/>
            </a:ln>
            <a:effectLst/>
          </c:spPr>
          <c:marker>
            <c:symbol val="circle"/>
            <c:size val="5"/>
            <c:spPr>
              <a:solidFill>
                <a:schemeClr val="accent3"/>
              </a:solidFill>
              <a:ln w="9525" cap="flat" cmpd="sng">
                <a:solidFill>
                  <a:schemeClr val="accent3"/>
                </a:solidFill>
              </a:ln>
              <a:effectLst/>
            </c:spPr>
          </c:marker>
          <c:val>
            <c:numRef>
              <c:f>'Results and Graphs'!$D$6:$D$16</c:f>
              <c:numCache>
                <c:formatCode>_ * #,##0_ ;_ * \-#,##0_ ;_ * "-"??_ ;_ @_ </c:formatCode>
                <c:ptCount val="11"/>
                <c:pt idx="0">
                  <c:v>-1200</c:v>
                </c:pt>
                <c:pt idx="1">
                  <c:v>143.00000000000003</c:v>
                </c:pt>
                <c:pt idx="2">
                  <c:v>157.30000000000007</c:v>
                </c:pt>
                <c:pt idx="3">
                  <c:v>173.03000000000009</c:v>
                </c:pt>
                <c:pt idx="4">
                  <c:v>190.33300000000008</c:v>
                </c:pt>
                <c:pt idx="5">
                  <c:v>692.09202499999992</c:v>
                </c:pt>
                <c:pt idx="6">
                  <c:v>224.02194100000011</c:v>
                </c:pt>
                <c:pt idx="7">
                  <c:v>102.94875899999943</c:v>
                </c:pt>
                <c:pt idx="8">
                  <c:v>0</c:v>
                </c:pt>
                <c:pt idx="9">
                  <c:v>0</c:v>
                </c:pt>
                <c:pt idx="10">
                  <c:v>1456.4007848548463</c:v>
                </c:pt>
              </c:numCache>
            </c:numRef>
          </c:val>
          <c:smooth val="0"/>
          <c:extLst>
            <c:ext xmlns:c16="http://schemas.microsoft.com/office/drawing/2014/chart" uri="{C3380CC4-5D6E-409C-BE32-E72D297353CC}">
              <c16:uniqueId val="{00000001-5370-4D38-8232-BB8EFFCEA465}"/>
            </c:ext>
          </c:extLst>
        </c:ser>
        <c:dLbls>
          <c:showLegendKey val="0"/>
          <c:showVal val="0"/>
          <c:showCatName val="0"/>
          <c:showSerName val="0"/>
          <c:showPercent val="0"/>
          <c:showBubbleSize val="0"/>
        </c:dLbls>
        <c:marker val="1"/>
        <c:smooth val="0"/>
        <c:axId val="-391625067"/>
        <c:axId val="1755741432"/>
      </c:lineChart>
      <c:catAx>
        <c:axId val="-391625067"/>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755741432"/>
        <c:crosses val="autoZero"/>
        <c:auto val="1"/>
        <c:lblAlgn val="ctr"/>
        <c:lblOffset val="100"/>
        <c:noMultiLvlLbl val="0"/>
      </c:catAx>
      <c:valAx>
        <c:axId val="1755741432"/>
        <c:scaling>
          <c:orientation val="minMax"/>
        </c:scaling>
        <c:delete val="0"/>
        <c:axPos val="l"/>
        <c:majorGridlines>
          <c:spPr>
            <a:ln w="9525" cap="flat" cmpd="sng">
              <a:solidFill>
                <a:schemeClr val="tx1">
                  <a:lumMod val="15000"/>
                  <a:lumOff val="85000"/>
                </a:schemeClr>
              </a:solidFill>
              <a:round/>
            </a:ln>
            <a:effectLst/>
          </c:spPr>
        </c:majorGridlines>
        <c:numFmt formatCode="_ * #,##0_ ;_ * \-#,##0_ ;_ * &quot;-&quot;??_ ;_ @_ " sourceLinked="1"/>
        <c:majorTickMark val="none"/>
        <c:minorTickMark val="none"/>
        <c:tickLblPos val="nextTo"/>
        <c:spPr>
          <a:noFill/>
          <a:ln w="9525">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391625067"/>
        <c:crosses val="autoZero"/>
        <c:crossBetween val="between"/>
      </c:valAx>
      <c:spPr>
        <a:noFill/>
        <a:ln w="9525">
          <a:noFill/>
        </a:ln>
        <a:effectLst/>
      </c:spPr>
    </c:plotArea>
    <c:legend>
      <c:legendPos val="b"/>
      <c:overlay val="0"/>
      <c:spPr>
        <a:noFill/>
        <a:ln w="9525">
          <a:noFill/>
        </a:ln>
        <a:effectLst/>
      </c:spPr>
      <c:txPr>
        <a:bodyPr rot="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r>
              <a:rPr lang="en-US"/>
              <a:t> MOIC Comparison of the scenarios and options evaluated</a:t>
            </a:r>
          </a:p>
        </c:rich>
      </c:tx>
      <c:overlay val="0"/>
      <c:spPr>
        <a:noFill/>
        <a:ln w="9525">
          <a:noFill/>
        </a:ln>
        <a:effectLst/>
      </c:spPr>
      <c:txPr>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'Results and Graphs'!$B$19</c:f>
              <c:strCache>
                <c:ptCount val="1"/>
                <c:pt idx="0">
                  <c:v>MOIC</c:v>
                </c:pt>
              </c:strCache>
            </c:strRef>
          </c:tx>
          <c:spPr>
            <a:solidFill>
              <a:schemeClr val="accent1"/>
            </a:solidFill>
            <a:ln w="9525">
              <a:noFill/>
            </a:ln>
            <a:effectLst/>
          </c:spPr>
          <c:invertIfNegative val="0"/>
          <c:dLbls>
            <c:spPr>
              <a:noFill/>
              <a:ln w="9525">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and Graphs'!$C$5:$H$5</c:f>
              <c:strCache>
                <c:ptCount val="6"/>
                <c:pt idx="0">
                  <c:v>Option 1 - a</c:v>
                </c:pt>
                <c:pt idx="1">
                  <c:v>Option 1 - b</c:v>
                </c:pt>
                <c:pt idx="2">
                  <c:v>Option 2 - a</c:v>
                </c:pt>
                <c:pt idx="3">
                  <c:v>Option 2 - b</c:v>
                </c:pt>
                <c:pt idx="4">
                  <c:v>Option 3 - a</c:v>
                </c:pt>
                <c:pt idx="5">
                  <c:v>Option 3 - b</c:v>
                </c:pt>
              </c:strCache>
            </c:strRef>
          </c:cat>
          <c:val>
            <c:numRef>
              <c:f>'Results and Graphs'!$C$19:$H$19</c:f>
              <c:numCache>
                <c:formatCode>_(* #,##0.00_);_(* \(#,##0.00\);_(* "-"??_);_(@_)</c:formatCode>
                <c:ptCount val="6"/>
                <c:pt idx="0">
                  <c:v>3.2318775164247433</c:v>
                </c:pt>
                <c:pt idx="1">
                  <c:v>2.6159387582123719</c:v>
                </c:pt>
                <c:pt idx="2">
                  <c:v>3.4937424601000022</c:v>
                </c:pt>
                <c:pt idx="3">
                  <c:v>2.9204494760600013</c:v>
                </c:pt>
                <c:pt idx="4">
                  <c:v>4.97</c:v>
                </c:pt>
                <c:pt idx="5">
                  <c:v>3.8299071805624592</c:v>
                </c:pt>
              </c:numCache>
            </c:numRef>
          </c:val>
          <c:extLst>
            <c:ext xmlns:c16="http://schemas.microsoft.com/office/drawing/2014/chart" uri="{C3380CC4-5D6E-409C-BE32-E72D297353CC}">
              <c16:uniqueId val="{00000000-3EF6-4CD7-8BDD-D97208EAD2D6}"/>
            </c:ext>
          </c:extLst>
        </c:ser>
        <c:dLbls>
          <c:showLegendKey val="0"/>
          <c:showVal val="0"/>
          <c:showCatName val="0"/>
          <c:showSerName val="0"/>
          <c:showPercent val="0"/>
          <c:showBubbleSize val="0"/>
        </c:dLbls>
        <c:gapWidth val="182"/>
        <c:axId val="-1176609583"/>
        <c:axId val="101832519"/>
      </c:barChart>
      <c:catAx>
        <c:axId val="-11766095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01832519"/>
        <c:crosses val="autoZero"/>
        <c:auto val="1"/>
        <c:lblAlgn val="ctr"/>
        <c:lblOffset val="100"/>
        <c:noMultiLvlLbl val="0"/>
      </c:catAx>
      <c:valAx>
        <c:axId val="101832519"/>
        <c:scaling>
          <c:orientation val="minMax"/>
        </c:scaling>
        <c:delete val="0"/>
        <c:axPos val="b"/>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w="9525">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176609583"/>
        <c:crosses val="autoZero"/>
        <c:crossBetween val="between"/>
      </c:valAx>
      <c:spPr>
        <a:noFill/>
        <a:ln w="9525">
          <a:noFill/>
        </a:ln>
        <a:effectLst/>
      </c:spPr>
    </c:plotArea>
    <c:legend>
      <c:legendPos val="b"/>
      <c:overlay val="0"/>
      <c:spPr>
        <a:noFill/>
        <a:ln w="9525">
          <a:noFill/>
        </a:ln>
        <a:effectLst/>
      </c:spPr>
      <c:txPr>
        <a:bodyPr rot="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IN" sz="1400" b="0" i="0" u="none" baseline="0">
                <a:solidFill>
                  <a:schemeClr val="tx1">
                    <a:lumMod val="65000"/>
                    <a:lumOff val="35000"/>
                  </a:schemeClr>
                </a:solidFill>
                <a:latin typeface="+mn-lt"/>
                <a:ea typeface="+mn-ea"/>
                <a:cs typeface="+mn-cs"/>
              </a:rPr>
              <a:t>Net cashflows for ABC Group from the inv. in Option 2 (INR Cr)</a:t>
            </a:r>
          </a:p>
        </c:rich>
      </c:tx>
      <c:overlay val="0"/>
      <c:spPr>
        <a:noFill/>
        <a:ln w="9525">
          <a:noFill/>
        </a:ln>
        <a:effectLst/>
      </c:spPr>
    </c:title>
    <c:autoTitleDeleted val="0"/>
    <c:plotArea>
      <c:layout/>
      <c:lineChart>
        <c:grouping val="standard"/>
        <c:varyColors val="0"/>
        <c:ser>
          <c:idx val="1"/>
          <c:order val="0"/>
          <c:tx>
            <c:strRef>
              <c:f>'Results and Graphs'!$E$5</c:f>
              <c:strCache>
                <c:ptCount val="1"/>
                <c:pt idx="0">
                  <c:v>Option 2 - a</c:v>
                </c:pt>
              </c:strCache>
            </c:strRef>
          </c:tx>
          <c:spPr>
            <a:ln w="28575" cap="rnd" cmpd="sng">
              <a:solidFill>
                <a:schemeClr val="accent2"/>
              </a:solidFill>
              <a:round/>
            </a:ln>
            <a:effectLst/>
          </c:spPr>
          <c:marker>
            <c:symbol val="circle"/>
            <c:size val="5"/>
            <c:spPr>
              <a:solidFill>
                <a:schemeClr val="accent2"/>
              </a:solidFill>
              <a:ln w="9525" cap="flat" cmpd="sng">
                <a:solidFill>
                  <a:schemeClr val="accent2"/>
                </a:solidFill>
              </a:ln>
              <a:effectLst/>
            </c:spPr>
          </c:marker>
          <c:val>
            <c:numRef>
              <c:f>'Results and Graphs'!$E$6:$E$16</c:f>
              <c:numCache>
                <c:formatCode>_ * #,##0_ ;_ * \-#,##0_ ;_ * "-"??_ ;_ @_ </c:formatCode>
                <c:ptCount val="11"/>
                <c:pt idx="0">
                  <c:v>-1575</c:v>
                </c:pt>
                <c:pt idx="1">
                  <c:v>141.75</c:v>
                </c:pt>
                <c:pt idx="2">
                  <c:v>141.75</c:v>
                </c:pt>
                <c:pt idx="3">
                  <c:v>141.75</c:v>
                </c:pt>
                <c:pt idx="4">
                  <c:v>141.75</c:v>
                </c:pt>
                <c:pt idx="5">
                  <c:v>141.75</c:v>
                </c:pt>
                <c:pt idx="6">
                  <c:v>141.75</c:v>
                </c:pt>
                <c:pt idx="7">
                  <c:v>141.75</c:v>
                </c:pt>
                <c:pt idx="8">
                  <c:v>141.75</c:v>
                </c:pt>
                <c:pt idx="9">
                  <c:v>141.75</c:v>
                </c:pt>
                <c:pt idx="10">
                  <c:v>4226.8943746575032</c:v>
                </c:pt>
              </c:numCache>
            </c:numRef>
          </c:val>
          <c:smooth val="0"/>
          <c:extLst>
            <c:ext xmlns:c16="http://schemas.microsoft.com/office/drawing/2014/chart" uri="{C3380CC4-5D6E-409C-BE32-E72D297353CC}">
              <c16:uniqueId val="{00000000-D0F2-4AEF-9A02-07F97115F442}"/>
            </c:ext>
          </c:extLst>
        </c:ser>
        <c:ser>
          <c:idx val="2"/>
          <c:order val="1"/>
          <c:tx>
            <c:strRef>
              <c:f>'Results and Graphs'!$F$5</c:f>
              <c:strCache>
                <c:ptCount val="1"/>
                <c:pt idx="0">
                  <c:v>Option 2 - b</c:v>
                </c:pt>
              </c:strCache>
            </c:strRef>
          </c:tx>
          <c:spPr>
            <a:ln w="28575" cap="rnd" cmpd="sng">
              <a:solidFill>
                <a:schemeClr val="accent3"/>
              </a:solidFill>
              <a:round/>
            </a:ln>
            <a:effectLst/>
          </c:spPr>
          <c:marker>
            <c:symbol val="circle"/>
            <c:size val="5"/>
            <c:spPr>
              <a:solidFill>
                <a:schemeClr val="accent3"/>
              </a:solidFill>
              <a:ln w="9525" cap="flat" cmpd="sng">
                <a:solidFill>
                  <a:schemeClr val="accent3"/>
                </a:solidFill>
              </a:ln>
              <a:effectLst/>
            </c:spPr>
          </c:marker>
          <c:val>
            <c:numRef>
              <c:f>'Results and Graphs'!$F$6:$F$16</c:f>
              <c:numCache>
                <c:formatCode>_ * #,##0_ ;_ * \-#,##0_ ;_ * "-"??_ ;_ @_ </c:formatCode>
                <c:ptCount val="11"/>
                <c:pt idx="0">
                  <c:v>-1575</c:v>
                </c:pt>
                <c:pt idx="1">
                  <c:v>141.75</c:v>
                </c:pt>
                <c:pt idx="2">
                  <c:v>141.75</c:v>
                </c:pt>
                <c:pt idx="3">
                  <c:v>141.75</c:v>
                </c:pt>
                <c:pt idx="4">
                  <c:v>141.75</c:v>
                </c:pt>
                <c:pt idx="5">
                  <c:v>1156.3713000000005</c:v>
                </c:pt>
                <c:pt idx="6">
                  <c:v>85.05</c:v>
                </c:pt>
                <c:pt idx="7">
                  <c:v>85.05</c:v>
                </c:pt>
                <c:pt idx="8">
                  <c:v>85.05</c:v>
                </c:pt>
                <c:pt idx="9">
                  <c:v>85.05</c:v>
                </c:pt>
                <c:pt idx="10">
                  <c:v>2536.136624794502</c:v>
                </c:pt>
              </c:numCache>
            </c:numRef>
          </c:val>
          <c:smooth val="0"/>
          <c:extLst>
            <c:ext xmlns:c16="http://schemas.microsoft.com/office/drawing/2014/chart" uri="{C3380CC4-5D6E-409C-BE32-E72D297353CC}">
              <c16:uniqueId val="{00000001-D0F2-4AEF-9A02-07F97115F442}"/>
            </c:ext>
          </c:extLst>
        </c:ser>
        <c:dLbls>
          <c:showLegendKey val="0"/>
          <c:showVal val="0"/>
          <c:showCatName val="0"/>
          <c:showSerName val="0"/>
          <c:showPercent val="0"/>
          <c:showBubbleSize val="0"/>
        </c:dLbls>
        <c:marker val="1"/>
        <c:smooth val="0"/>
        <c:axId val="1706231393"/>
        <c:axId val="-301530078"/>
      </c:lineChart>
      <c:catAx>
        <c:axId val="170623139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301530078"/>
        <c:crosses val="autoZero"/>
        <c:auto val="1"/>
        <c:lblAlgn val="ctr"/>
        <c:lblOffset val="100"/>
        <c:noMultiLvlLbl val="0"/>
      </c:catAx>
      <c:valAx>
        <c:axId val="-301530078"/>
        <c:scaling>
          <c:orientation val="minMax"/>
        </c:scaling>
        <c:delete val="0"/>
        <c:axPos val="l"/>
        <c:majorGridlines>
          <c:spPr>
            <a:ln w="9525" cap="flat" cmpd="sng">
              <a:solidFill>
                <a:schemeClr val="tx1">
                  <a:lumMod val="15000"/>
                  <a:lumOff val="85000"/>
                </a:schemeClr>
              </a:solidFill>
              <a:round/>
            </a:ln>
            <a:effectLst/>
          </c:spPr>
        </c:majorGridlines>
        <c:numFmt formatCode="_ * #,##0_ ;_ * \-#,##0_ ;_ * &quot;-&quot;??_ ;_ @_ " sourceLinked="1"/>
        <c:majorTickMark val="none"/>
        <c:minorTickMark val="none"/>
        <c:tickLblPos val="nextTo"/>
        <c:spPr>
          <a:noFill/>
          <a:ln w="9525">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706231393"/>
        <c:crosses val="autoZero"/>
        <c:crossBetween val="between"/>
      </c:valAx>
      <c:spPr>
        <a:noFill/>
        <a:ln w="9525">
          <a:noFill/>
        </a:ln>
        <a:effectLst/>
      </c:spPr>
    </c:plotArea>
    <c:legend>
      <c:legendPos val="b"/>
      <c:overlay val="0"/>
      <c:spPr>
        <a:noFill/>
        <a:ln w="9525">
          <a:noFill/>
        </a:ln>
        <a:effectLst/>
      </c:spPr>
      <c:txPr>
        <a:bodyPr rot="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IN" sz="1400" b="0" i="0" u="none" baseline="0">
                <a:solidFill>
                  <a:schemeClr val="tx1">
                    <a:lumMod val="65000"/>
                    <a:lumOff val="35000"/>
                  </a:schemeClr>
                </a:solidFill>
                <a:latin typeface="+mn-lt"/>
                <a:ea typeface="+mn-ea"/>
                <a:cs typeface="+mn-cs"/>
              </a:rPr>
              <a:t>Net cashflows for ABC Group from the inv. in Option 3 (INR Cr)</a:t>
            </a:r>
          </a:p>
        </c:rich>
      </c:tx>
      <c:overlay val="0"/>
      <c:spPr>
        <a:noFill/>
        <a:ln w="9525">
          <a:noFill/>
        </a:ln>
        <a:effectLst/>
      </c:spPr>
    </c:title>
    <c:autoTitleDeleted val="0"/>
    <c:plotArea>
      <c:layout/>
      <c:lineChart>
        <c:grouping val="standard"/>
        <c:varyColors val="0"/>
        <c:ser>
          <c:idx val="1"/>
          <c:order val="0"/>
          <c:tx>
            <c:strRef>
              <c:f>'Results and Graphs'!$G$5</c:f>
              <c:strCache>
                <c:ptCount val="1"/>
                <c:pt idx="0">
                  <c:v>Option 3 - a</c:v>
                </c:pt>
              </c:strCache>
            </c:strRef>
          </c:tx>
          <c:spPr>
            <a:ln w="28575" cap="rnd" cmpd="sng">
              <a:solidFill>
                <a:schemeClr val="accent2"/>
              </a:solidFill>
              <a:round/>
            </a:ln>
            <a:effectLst/>
          </c:spPr>
          <c:marker>
            <c:symbol val="circle"/>
            <c:size val="5"/>
            <c:spPr>
              <a:solidFill>
                <a:schemeClr val="accent2"/>
              </a:solidFill>
              <a:ln w="9525" cap="flat" cmpd="sng">
                <a:solidFill>
                  <a:schemeClr val="accent2"/>
                </a:solidFill>
              </a:ln>
              <a:effectLst/>
            </c:spPr>
          </c:marker>
          <c:val>
            <c:numRef>
              <c:f>'Results and Graphs'!$G$6:$G$16</c:f>
              <c:numCache>
                <c:formatCode>_ * #,##0_ ;_ * \-#,##0_ ;_ * "-"??_ ;_ @_ </c:formatCode>
                <c:ptCount val="11"/>
                <c:pt idx="0">
                  <c:v>-1200</c:v>
                </c:pt>
                <c:pt idx="1">
                  <c:v>0</c:v>
                </c:pt>
                <c:pt idx="2">
                  <c:v>0</c:v>
                </c:pt>
                <c:pt idx="3">
                  <c:v>0</c:v>
                </c:pt>
                <c:pt idx="4">
                  <c:v>0</c:v>
                </c:pt>
                <c:pt idx="5">
                  <c:v>0</c:v>
                </c:pt>
                <c:pt idx="6">
                  <c:v>0</c:v>
                </c:pt>
                <c:pt idx="7">
                  <c:v>0</c:v>
                </c:pt>
                <c:pt idx="8">
                  <c:v>0</c:v>
                </c:pt>
                <c:pt idx="9">
                  <c:v>0</c:v>
                </c:pt>
                <c:pt idx="10">
                  <c:v>5964</c:v>
                </c:pt>
              </c:numCache>
            </c:numRef>
          </c:val>
          <c:smooth val="0"/>
          <c:extLst>
            <c:ext xmlns:c16="http://schemas.microsoft.com/office/drawing/2014/chart" uri="{C3380CC4-5D6E-409C-BE32-E72D297353CC}">
              <c16:uniqueId val="{00000000-0506-4A72-B072-3DD978082B41}"/>
            </c:ext>
          </c:extLst>
        </c:ser>
        <c:ser>
          <c:idx val="2"/>
          <c:order val="1"/>
          <c:tx>
            <c:strRef>
              <c:f>'Results and Graphs'!$H$5</c:f>
              <c:strCache>
                <c:ptCount val="1"/>
                <c:pt idx="0">
                  <c:v>Option 3 - b</c:v>
                </c:pt>
              </c:strCache>
            </c:strRef>
          </c:tx>
          <c:spPr>
            <a:ln w="28575" cap="rnd" cmpd="sng">
              <a:solidFill>
                <a:schemeClr val="accent3"/>
              </a:solidFill>
              <a:round/>
            </a:ln>
            <a:effectLst/>
          </c:spPr>
          <c:marker>
            <c:symbol val="circle"/>
            <c:size val="5"/>
            <c:spPr>
              <a:solidFill>
                <a:schemeClr val="accent3"/>
              </a:solidFill>
              <a:ln w="9525" cap="flat" cmpd="sng">
                <a:solidFill>
                  <a:schemeClr val="accent3"/>
                </a:solidFill>
              </a:ln>
              <a:effectLst/>
            </c:spPr>
          </c:marker>
          <c:val>
            <c:numRef>
              <c:f>'Results and Graphs'!$H$6:$H$16</c:f>
              <c:numCache>
                <c:formatCode>_ * #,##0_ ;_ * \-#,##0_ ;_ * "-"??_ ;_ @_ </c:formatCode>
                <c:ptCount val="11"/>
                <c:pt idx="0">
                  <c:v>-1200</c:v>
                </c:pt>
                <c:pt idx="1">
                  <c:v>0</c:v>
                </c:pt>
                <c:pt idx="2">
                  <c:v>0</c:v>
                </c:pt>
                <c:pt idx="3">
                  <c:v>0</c:v>
                </c:pt>
                <c:pt idx="4">
                  <c:v>0</c:v>
                </c:pt>
                <c:pt idx="5">
                  <c:v>0</c:v>
                </c:pt>
                <c:pt idx="6">
                  <c:v>0</c:v>
                </c:pt>
                <c:pt idx="7">
                  <c:v>0</c:v>
                </c:pt>
                <c:pt idx="8">
                  <c:v>0</c:v>
                </c:pt>
                <c:pt idx="9">
                  <c:v>0</c:v>
                </c:pt>
                <c:pt idx="10">
                  <c:v>4595.8886166749508</c:v>
                </c:pt>
              </c:numCache>
            </c:numRef>
          </c:val>
          <c:smooth val="0"/>
          <c:extLst>
            <c:ext xmlns:c16="http://schemas.microsoft.com/office/drawing/2014/chart" uri="{C3380CC4-5D6E-409C-BE32-E72D297353CC}">
              <c16:uniqueId val="{00000001-0506-4A72-B072-3DD978082B41}"/>
            </c:ext>
          </c:extLst>
        </c:ser>
        <c:dLbls>
          <c:showLegendKey val="0"/>
          <c:showVal val="0"/>
          <c:showCatName val="0"/>
          <c:showSerName val="0"/>
          <c:showPercent val="0"/>
          <c:showBubbleSize val="0"/>
        </c:dLbls>
        <c:marker val="1"/>
        <c:smooth val="0"/>
        <c:axId val="1517877250"/>
        <c:axId val="1871205330"/>
      </c:lineChart>
      <c:catAx>
        <c:axId val="1517877250"/>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871205330"/>
        <c:crosses val="autoZero"/>
        <c:auto val="1"/>
        <c:lblAlgn val="ctr"/>
        <c:lblOffset val="100"/>
        <c:noMultiLvlLbl val="0"/>
      </c:catAx>
      <c:valAx>
        <c:axId val="1871205330"/>
        <c:scaling>
          <c:orientation val="minMax"/>
        </c:scaling>
        <c:delete val="0"/>
        <c:axPos val="l"/>
        <c:majorGridlines>
          <c:spPr>
            <a:ln w="9525" cap="flat" cmpd="sng">
              <a:solidFill>
                <a:schemeClr val="tx1">
                  <a:lumMod val="15000"/>
                  <a:lumOff val="85000"/>
                </a:schemeClr>
              </a:solidFill>
              <a:round/>
            </a:ln>
            <a:effectLst/>
          </c:spPr>
        </c:majorGridlines>
        <c:numFmt formatCode="_ * #,##0_ ;_ * \-#,##0_ ;_ * &quot;-&quot;??_ ;_ @_ " sourceLinked="1"/>
        <c:majorTickMark val="none"/>
        <c:minorTickMark val="none"/>
        <c:tickLblPos val="nextTo"/>
        <c:spPr>
          <a:noFill/>
          <a:ln w="9525">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517877250"/>
        <c:crosses val="autoZero"/>
        <c:crossBetween val="between"/>
      </c:valAx>
      <c:spPr>
        <a:noFill/>
        <a:ln w="9525">
          <a:noFill/>
        </a:ln>
        <a:effectLst/>
      </c:spPr>
    </c:plotArea>
    <c:legend>
      <c:legendPos val="b"/>
      <c:overlay val="0"/>
      <c:spPr>
        <a:noFill/>
        <a:ln w="9525">
          <a:noFill/>
        </a:ln>
        <a:effectLst/>
      </c:spPr>
      <c:txPr>
        <a:bodyPr rot="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r>
              <a:rPr lang="en-US"/>
              <a:t> IRR Comparison of the scenarios and options evaluated</a:t>
            </a:r>
          </a:p>
        </c:rich>
      </c:tx>
      <c:overlay val="0"/>
      <c:spPr>
        <a:noFill/>
        <a:ln w="9525">
          <a:noFill/>
        </a:ln>
        <a:effectLst/>
      </c:spPr>
      <c:txPr>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'Results and Graphs'!$B$18</c:f>
              <c:strCache>
                <c:ptCount val="1"/>
                <c:pt idx="0">
                  <c:v>IRR</c:v>
                </c:pt>
              </c:strCache>
            </c:strRef>
          </c:tx>
          <c:spPr>
            <a:solidFill>
              <a:schemeClr val="accent1"/>
            </a:solidFill>
            <a:ln w="9525">
              <a:noFill/>
            </a:ln>
            <a:effectLst/>
          </c:spPr>
          <c:invertIfNegative val="0"/>
          <c:dLbls>
            <c:spPr>
              <a:noFill/>
              <a:ln w="9525">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and Graphs'!$C$5:$H$5</c:f>
              <c:strCache>
                <c:ptCount val="6"/>
                <c:pt idx="0">
                  <c:v>Option 1 - a</c:v>
                </c:pt>
                <c:pt idx="1">
                  <c:v>Option 1 - b</c:v>
                </c:pt>
                <c:pt idx="2">
                  <c:v>Option 2 - a</c:v>
                </c:pt>
                <c:pt idx="3">
                  <c:v>Option 2 - b</c:v>
                </c:pt>
                <c:pt idx="4">
                  <c:v>Option 3 - a</c:v>
                </c:pt>
                <c:pt idx="5">
                  <c:v>Option 3 - b</c:v>
                </c:pt>
              </c:strCache>
            </c:strRef>
          </c:cat>
          <c:val>
            <c:numRef>
              <c:f>'Results and Graphs'!$C$18:$H$18</c:f>
              <c:numCache>
                <c:formatCode>0%</c:formatCode>
                <c:ptCount val="6"/>
                <c:pt idx="0">
                  <c:v>0.14999999999999991</c:v>
                </c:pt>
                <c:pt idx="1">
                  <c:v>0.16766797564808833</c:v>
                </c:pt>
                <c:pt idx="2">
                  <c:v>0.1634832891541762</c:v>
                </c:pt>
                <c:pt idx="3">
                  <c:v>0.16702091419423026</c:v>
                </c:pt>
                <c:pt idx="4">
                  <c:v>0.17391226157666018</c:v>
                </c:pt>
                <c:pt idx="5">
                  <c:v>0.1437176542904226</c:v>
                </c:pt>
              </c:numCache>
            </c:numRef>
          </c:val>
          <c:extLst>
            <c:ext xmlns:c16="http://schemas.microsoft.com/office/drawing/2014/chart" uri="{C3380CC4-5D6E-409C-BE32-E72D297353CC}">
              <c16:uniqueId val="{00000000-3A2B-4FF8-9332-782EAD779061}"/>
            </c:ext>
          </c:extLst>
        </c:ser>
        <c:dLbls>
          <c:showLegendKey val="0"/>
          <c:showVal val="0"/>
          <c:showCatName val="0"/>
          <c:showSerName val="0"/>
          <c:showPercent val="0"/>
          <c:showBubbleSize val="0"/>
        </c:dLbls>
        <c:gapWidth val="182"/>
        <c:axId val="137198528"/>
        <c:axId val="121866208"/>
      </c:barChart>
      <c:catAx>
        <c:axId val="137198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21866208"/>
        <c:crosses val="autoZero"/>
        <c:auto val="1"/>
        <c:lblAlgn val="ctr"/>
        <c:lblOffset val="100"/>
        <c:noMultiLvlLbl val="0"/>
      </c:catAx>
      <c:valAx>
        <c:axId val="1218662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37198528"/>
        <c:crosses val="autoZero"/>
        <c:crossBetween val="between"/>
      </c:valAx>
      <c:spPr>
        <a:noFill/>
        <a:ln w="9525">
          <a:noFill/>
        </a:ln>
        <a:effectLst/>
      </c:spPr>
    </c:plotArea>
    <c:legend>
      <c:legendPos val="b"/>
      <c:overlay val="0"/>
      <c:spPr>
        <a:noFill/>
        <a:ln w="9525">
          <a:noFill/>
        </a:ln>
        <a:effectLst/>
      </c:spPr>
      <c:txPr>
        <a:bodyPr rot="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r>
              <a:rPr lang="en-US"/>
              <a:t> MOIC Comparison of the scenarios and options evaluated</a:t>
            </a:r>
          </a:p>
        </c:rich>
      </c:tx>
      <c:overlay val="0"/>
      <c:spPr>
        <a:noFill/>
        <a:ln w="9525">
          <a:noFill/>
        </a:ln>
        <a:effectLst/>
      </c:spPr>
      <c:txPr>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'Results and Graphs'!$B$19</c:f>
              <c:strCache>
                <c:ptCount val="1"/>
                <c:pt idx="0">
                  <c:v>MOIC</c:v>
                </c:pt>
              </c:strCache>
            </c:strRef>
          </c:tx>
          <c:spPr>
            <a:solidFill>
              <a:schemeClr val="accent1"/>
            </a:solidFill>
            <a:ln w="9525">
              <a:noFill/>
            </a:ln>
            <a:effectLst/>
          </c:spPr>
          <c:invertIfNegative val="0"/>
          <c:dLbls>
            <c:spPr>
              <a:noFill/>
              <a:ln w="9525">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and Graphs'!$C$5:$H$5</c:f>
              <c:strCache>
                <c:ptCount val="6"/>
                <c:pt idx="0">
                  <c:v>Option 1 - a</c:v>
                </c:pt>
                <c:pt idx="1">
                  <c:v>Option 1 - b</c:v>
                </c:pt>
                <c:pt idx="2">
                  <c:v>Option 2 - a</c:v>
                </c:pt>
                <c:pt idx="3">
                  <c:v>Option 2 - b</c:v>
                </c:pt>
                <c:pt idx="4">
                  <c:v>Option 3 - a</c:v>
                </c:pt>
                <c:pt idx="5">
                  <c:v>Option 3 - b</c:v>
                </c:pt>
              </c:strCache>
            </c:strRef>
          </c:cat>
          <c:val>
            <c:numRef>
              <c:f>'Results and Graphs'!$C$19:$H$19</c:f>
              <c:numCache>
                <c:formatCode>_(* #,##0.00_);_(* \(#,##0.00\);_(* "-"??_);_(@_)</c:formatCode>
                <c:ptCount val="6"/>
                <c:pt idx="0">
                  <c:v>3.2318775164247433</c:v>
                </c:pt>
                <c:pt idx="1">
                  <c:v>2.6159387582123719</c:v>
                </c:pt>
                <c:pt idx="2">
                  <c:v>3.4937424601000022</c:v>
                </c:pt>
                <c:pt idx="3">
                  <c:v>2.9204494760600013</c:v>
                </c:pt>
                <c:pt idx="4">
                  <c:v>4.97</c:v>
                </c:pt>
                <c:pt idx="5">
                  <c:v>3.8299071805624592</c:v>
                </c:pt>
              </c:numCache>
            </c:numRef>
          </c:val>
          <c:extLst>
            <c:ext xmlns:c16="http://schemas.microsoft.com/office/drawing/2014/chart" uri="{C3380CC4-5D6E-409C-BE32-E72D297353CC}">
              <c16:uniqueId val="{00000000-E6F6-4103-98FA-3C502CE002BF}"/>
            </c:ext>
          </c:extLst>
        </c:ser>
        <c:dLbls>
          <c:showLegendKey val="0"/>
          <c:showVal val="0"/>
          <c:showCatName val="0"/>
          <c:showSerName val="0"/>
          <c:showPercent val="0"/>
          <c:showBubbleSize val="0"/>
        </c:dLbls>
        <c:gapWidth val="182"/>
        <c:axId val="-1176609583"/>
        <c:axId val="101832519"/>
      </c:barChart>
      <c:catAx>
        <c:axId val="-11766095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01832519"/>
        <c:crosses val="autoZero"/>
        <c:auto val="1"/>
        <c:lblAlgn val="ctr"/>
        <c:lblOffset val="100"/>
        <c:noMultiLvlLbl val="0"/>
      </c:catAx>
      <c:valAx>
        <c:axId val="101832519"/>
        <c:scaling>
          <c:orientation val="minMax"/>
        </c:scaling>
        <c:delete val="0"/>
        <c:axPos val="b"/>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w="9525">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176609583"/>
        <c:crosses val="autoZero"/>
        <c:crossBetween val="between"/>
      </c:valAx>
      <c:spPr>
        <a:noFill/>
        <a:ln w="9525">
          <a:noFill/>
        </a:ln>
        <a:effectLst/>
      </c:spPr>
    </c:plotArea>
    <c:legend>
      <c:legendPos val="b"/>
      <c:overlay val="0"/>
      <c:spPr>
        <a:noFill/>
        <a:ln w="9525">
          <a:noFill/>
        </a:ln>
        <a:effectLst/>
      </c:spPr>
      <c:txPr>
        <a:bodyPr rot="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IN" sz="1400" b="0" i="0" u="none" baseline="0">
                <a:solidFill>
                  <a:schemeClr val="tx1">
                    <a:lumMod val="65000"/>
                    <a:lumOff val="35000"/>
                  </a:schemeClr>
                </a:solidFill>
                <a:latin typeface="+mn-lt"/>
                <a:ea typeface="+mn-ea"/>
                <a:cs typeface="+mn-cs"/>
              </a:rPr>
              <a:t>Net cashflows for ABC Group from the inv. in Option 1 (INR Cr)</a:t>
            </a:r>
          </a:p>
        </c:rich>
      </c:tx>
      <c:layout>
        <c:manualLayout>
          <c:xMode val="edge"/>
          <c:yMode val="edge"/>
          <c:x val="0.14136265848124915"/>
          <c:y val="0"/>
        </c:manualLayout>
      </c:layout>
      <c:overlay val="0"/>
      <c:spPr>
        <a:noFill/>
        <a:ln w="9525">
          <a:noFill/>
        </a:ln>
        <a:effectLst/>
      </c:spPr>
    </c:title>
    <c:autoTitleDeleted val="0"/>
    <c:plotArea>
      <c:layout/>
      <c:lineChart>
        <c:grouping val="standard"/>
        <c:varyColors val="0"/>
        <c:ser>
          <c:idx val="1"/>
          <c:order val="0"/>
          <c:tx>
            <c:strRef>
              <c:f>'Results and Graphs'!$C$5</c:f>
              <c:strCache>
                <c:ptCount val="1"/>
                <c:pt idx="0">
                  <c:v>Option 1 - a</c:v>
                </c:pt>
              </c:strCache>
            </c:strRef>
          </c:tx>
          <c:spPr>
            <a:ln w="28575" cap="rnd" cmpd="sng">
              <a:solidFill>
                <a:schemeClr val="accent2"/>
              </a:solidFill>
              <a:round/>
            </a:ln>
            <a:effectLst/>
          </c:spPr>
          <c:marker>
            <c:symbol val="circle"/>
            <c:size val="5"/>
            <c:spPr>
              <a:solidFill>
                <a:schemeClr val="accent2"/>
              </a:solidFill>
              <a:ln w="9525" cap="flat" cmpd="sng">
                <a:solidFill>
                  <a:schemeClr val="accent2"/>
                </a:solidFill>
              </a:ln>
              <a:effectLst/>
            </c:spPr>
          </c:marker>
          <c:val>
            <c:numRef>
              <c:f>'Results and Graphs'!$C$6:$C$16</c:f>
              <c:numCache>
                <c:formatCode>_ * #,##0_ ;_ * \-#,##0_ ;_ * "-"??_ ;_ @_ </c:formatCode>
                <c:ptCount val="11"/>
                <c:pt idx="0">
                  <c:v>-1200</c:v>
                </c:pt>
                <c:pt idx="1">
                  <c:v>0</c:v>
                </c:pt>
                <c:pt idx="2">
                  <c:v>0</c:v>
                </c:pt>
                <c:pt idx="3">
                  <c:v>0</c:v>
                </c:pt>
                <c:pt idx="4">
                  <c:v>0</c:v>
                </c:pt>
                <c:pt idx="5">
                  <c:v>965.45144999999957</c:v>
                </c:pt>
                <c:pt idx="6">
                  <c:v>0</c:v>
                </c:pt>
                <c:pt idx="7">
                  <c:v>0</c:v>
                </c:pt>
                <c:pt idx="8">
                  <c:v>0</c:v>
                </c:pt>
                <c:pt idx="9">
                  <c:v>0</c:v>
                </c:pt>
                <c:pt idx="10">
                  <c:v>2912.8015697096926</c:v>
                </c:pt>
              </c:numCache>
            </c:numRef>
          </c:val>
          <c:smooth val="0"/>
          <c:extLst>
            <c:ext xmlns:c16="http://schemas.microsoft.com/office/drawing/2014/chart" uri="{C3380CC4-5D6E-409C-BE32-E72D297353CC}">
              <c16:uniqueId val="{00000000-35E7-42AF-A3AD-D6AAA783D4EA}"/>
            </c:ext>
          </c:extLst>
        </c:ser>
        <c:ser>
          <c:idx val="2"/>
          <c:order val="1"/>
          <c:tx>
            <c:strRef>
              <c:f>'Results and Graphs'!$D$5</c:f>
              <c:strCache>
                <c:ptCount val="1"/>
                <c:pt idx="0">
                  <c:v>Option 1 - b</c:v>
                </c:pt>
              </c:strCache>
            </c:strRef>
          </c:tx>
          <c:spPr>
            <a:ln w="28575" cap="rnd" cmpd="sng">
              <a:solidFill>
                <a:schemeClr val="accent3"/>
              </a:solidFill>
              <a:round/>
            </a:ln>
            <a:effectLst/>
          </c:spPr>
          <c:marker>
            <c:symbol val="circle"/>
            <c:size val="5"/>
            <c:spPr>
              <a:solidFill>
                <a:schemeClr val="accent3"/>
              </a:solidFill>
              <a:ln w="9525" cap="flat" cmpd="sng">
                <a:solidFill>
                  <a:schemeClr val="accent3"/>
                </a:solidFill>
              </a:ln>
              <a:effectLst/>
            </c:spPr>
          </c:marker>
          <c:val>
            <c:numRef>
              <c:f>'Results and Graphs'!$D$6:$D$16</c:f>
              <c:numCache>
                <c:formatCode>_ * #,##0_ ;_ * \-#,##0_ ;_ * "-"??_ ;_ @_ </c:formatCode>
                <c:ptCount val="11"/>
                <c:pt idx="0">
                  <c:v>-1200</c:v>
                </c:pt>
                <c:pt idx="1">
                  <c:v>143.00000000000003</c:v>
                </c:pt>
                <c:pt idx="2">
                  <c:v>157.30000000000007</c:v>
                </c:pt>
                <c:pt idx="3">
                  <c:v>173.03000000000009</c:v>
                </c:pt>
                <c:pt idx="4">
                  <c:v>190.33300000000008</c:v>
                </c:pt>
                <c:pt idx="5">
                  <c:v>692.09202499999992</c:v>
                </c:pt>
                <c:pt idx="6">
                  <c:v>224.02194100000011</c:v>
                </c:pt>
                <c:pt idx="7">
                  <c:v>102.94875899999943</c:v>
                </c:pt>
                <c:pt idx="8">
                  <c:v>0</c:v>
                </c:pt>
                <c:pt idx="9">
                  <c:v>0</c:v>
                </c:pt>
                <c:pt idx="10">
                  <c:v>1456.4007848548463</c:v>
                </c:pt>
              </c:numCache>
            </c:numRef>
          </c:val>
          <c:smooth val="0"/>
          <c:extLst>
            <c:ext xmlns:c16="http://schemas.microsoft.com/office/drawing/2014/chart" uri="{C3380CC4-5D6E-409C-BE32-E72D297353CC}">
              <c16:uniqueId val="{00000001-35E7-42AF-A3AD-D6AAA783D4EA}"/>
            </c:ext>
          </c:extLst>
        </c:ser>
        <c:dLbls>
          <c:showLegendKey val="0"/>
          <c:showVal val="0"/>
          <c:showCatName val="0"/>
          <c:showSerName val="0"/>
          <c:showPercent val="0"/>
          <c:showBubbleSize val="0"/>
        </c:dLbls>
        <c:marker val="1"/>
        <c:smooth val="0"/>
        <c:axId val="-391625067"/>
        <c:axId val="1755741432"/>
      </c:lineChart>
      <c:catAx>
        <c:axId val="-391625067"/>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755741432"/>
        <c:crosses val="autoZero"/>
        <c:auto val="1"/>
        <c:lblAlgn val="ctr"/>
        <c:lblOffset val="100"/>
        <c:noMultiLvlLbl val="0"/>
      </c:catAx>
      <c:valAx>
        <c:axId val="1755741432"/>
        <c:scaling>
          <c:orientation val="minMax"/>
        </c:scaling>
        <c:delete val="0"/>
        <c:axPos val="l"/>
        <c:majorGridlines>
          <c:spPr>
            <a:ln w="9525" cap="flat" cmpd="sng">
              <a:solidFill>
                <a:schemeClr val="tx1">
                  <a:lumMod val="15000"/>
                  <a:lumOff val="85000"/>
                </a:schemeClr>
              </a:solidFill>
              <a:round/>
            </a:ln>
            <a:effectLst/>
          </c:spPr>
        </c:majorGridlines>
        <c:numFmt formatCode="_ * #,##0_ ;_ * \-#,##0_ ;_ * &quot;-&quot;??_ ;_ @_ " sourceLinked="1"/>
        <c:majorTickMark val="none"/>
        <c:minorTickMark val="none"/>
        <c:tickLblPos val="nextTo"/>
        <c:spPr>
          <a:noFill/>
          <a:ln w="9525">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391625067"/>
        <c:crosses val="autoZero"/>
        <c:crossBetween val="between"/>
      </c:valAx>
      <c:spPr>
        <a:noFill/>
        <a:ln w="9525">
          <a:noFill/>
        </a:ln>
        <a:effectLst/>
      </c:spPr>
    </c:plotArea>
    <c:legend>
      <c:legendPos val="b"/>
      <c:overlay val="0"/>
      <c:spPr>
        <a:noFill/>
        <a:ln w="9525">
          <a:noFill/>
        </a:ln>
        <a:effectLst/>
      </c:spPr>
      <c:txPr>
        <a:bodyPr rot="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IN" sz="1400" b="0" i="0" u="none" baseline="0">
                <a:solidFill>
                  <a:schemeClr val="tx1">
                    <a:lumMod val="65000"/>
                    <a:lumOff val="35000"/>
                  </a:schemeClr>
                </a:solidFill>
                <a:latin typeface="+mn-lt"/>
                <a:ea typeface="+mn-ea"/>
                <a:cs typeface="+mn-cs"/>
              </a:rPr>
              <a:t>Net cashflows for ABC Group from the inv. in Option 2 (INR Cr)</a:t>
            </a:r>
          </a:p>
        </c:rich>
      </c:tx>
      <c:overlay val="0"/>
      <c:spPr>
        <a:noFill/>
        <a:ln w="9525">
          <a:noFill/>
        </a:ln>
        <a:effectLst/>
      </c:spPr>
    </c:title>
    <c:autoTitleDeleted val="0"/>
    <c:plotArea>
      <c:layout/>
      <c:lineChart>
        <c:grouping val="standard"/>
        <c:varyColors val="0"/>
        <c:ser>
          <c:idx val="1"/>
          <c:order val="0"/>
          <c:tx>
            <c:strRef>
              <c:f>'Results and Graphs'!$E$5</c:f>
              <c:strCache>
                <c:ptCount val="1"/>
                <c:pt idx="0">
                  <c:v>Option 2 - a</c:v>
                </c:pt>
              </c:strCache>
            </c:strRef>
          </c:tx>
          <c:spPr>
            <a:ln w="28575" cap="rnd" cmpd="sng">
              <a:solidFill>
                <a:schemeClr val="accent2"/>
              </a:solidFill>
              <a:round/>
            </a:ln>
            <a:effectLst/>
          </c:spPr>
          <c:marker>
            <c:symbol val="circle"/>
            <c:size val="5"/>
            <c:spPr>
              <a:solidFill>
                <a:schemeClr val="accent2"/>
              </a:solidFill>
              <a:ln w="9525" cap="flat" cmpd="sng">
                <a:solidFill>
                  <a:schemeClr val="accent2"/>
                </a:solidFill>
              </a:ln>
              <a:effectLst/>
            </c:spPr>
          </c:marker>
          <c:val>
            <c:numRef>
              <c:f>'Results and Graphs'!$E$6:$E$16</c:f>
              <c:numCache>
                <c:formatCode>_ * #,##0_ ;_ * \-#,##0_ ;_ * "-"??_ ;_ @_ </c:formatCode>
                <c:ptCount val="11"/>
                <c:pt idx="0">
                  <c:v>-1575</c:v>
                </c:pt>
                <c:pt idx="1">
                  <c:v>141.75</c:v>
                </c:pt>
                <c:pt idx="2">
                  <c:v>141.75</c:v>
                </c:pt>
                <c:pt idx="3">
                  <c:v>141.75</c:v>
                </c:pt>
                <c:pt idx="4">
                  <c:v>141.75</c:v>
                </c:pt>
                <c:pt idx="5">
                  <c:v>141.75</c:v>
                </c:pt>
                <c:pt idx="6">
                  <c:v>141.75</c:v>
                </c:pt>
                <c:pt idx="7">
                  <c:v>141.75</c:v>
                </c:pt>
                <c:pt idx="8">
                  <c:v>141.75</c:v>
                </c:pt>
                <c:pt idx="9">
                  <c:v>141.75</c:v>
                </c:pt>
                <c:pt idx="10">
                  <c:v>4226.8943746575032</c:v>
                </c:pt>
              </c:numCache>
            </c:numRef>
          </c:val>
          <c:smooth val="0"/>
          <c:extLst>
            <c:ext xmlns:c16="http://schemas.microsoft.com/office/drawing/2014/chart" uri="{C3380CC4-5D6E-409C-BE32-E72D297353CC}">
              <c16:uniqueId val="{00000000-CD61-446E-9B8F-08AF99A48EFB}"/>
            </c:ext>
          </c:extLst>
        </c:ser>
        <c:ser>
          <c:idx val="2"/>
          <c:order val="1"/>
          <c:tx>
            <c:strRef>
              <c:f>'Results and Graphs'!$F$5</c:f>
              <c:strCache>
                <c:ptCount val="1"/>
                <c:pt idx="0">
                  <c:v>Option 2 - b</c:v>
                </c:pt>
              </c:strCache>
            </c:strRef>
          </c:tx>
          <c:spPr>
            <a:ln w="28575" cap="rnd" cmpd="sng">
              <a:solidFill>
                <a:schemeClr val="accent3"/>
              </a:solidFill>
              <a:round/>
            </a:ln>
            <a:effectLst/>
          </c:spPr>
          <c:marker>
            <c:symbol val="circle"/>
            <c:size val="5"/>
            <c:spPr>
              <a:solidFill>
                <a:schemeClr val="accent3"/>
              </a:solidFill>
              <a:ln w="9525" cap="flat" cmpd="sng">
                <a:solidFill>
                  <a:schemeClr val="accent3"/>
                </a:solidFill>
              </a:ln>
              <a:effectLst/>
            </c:spPr>
          </c:marker>
          <c:val>
            <c:numRef>
              <c:f>'Results and Graphs'!$F$6:$F$16</c:f>
              <c:numCache>
                <c:formatCode>_ * #,##0_ ;_ * \-#,##0_ ;_ * "-"??_ ;_ @_ </c:formatCode>
                <c:ptCount val="11"/>
                <c:pt idx="0">
                  <c:v>-1575</c:v>
                </c:pt>
                <c:pt idx="1">
                  <c:v>141.75</c:v>
                </c:pt>
                <c:pt idx="2">
                  <c:v>141.75</c:v>
                </c:pt>
                <c:pt idx="3">
                  <c:v>141.75</c:v>
                </c:pt>
                <c:pt idx="4">
                  <c:v>141.75</c:v>
                </c:pt>
                <c:pt idx="5">
                  <c:v>1156.3713000000005</c:v>
                </c:pt>
                <c:pt idx="6">
                  <c:v>85.05</c:v>
                </c:pt>
                <c:pt idx="7">
                  <c:v>85.05</c:v>
                </c:pt>
                <c:pt idx="8">
                  <c:v>85.05</c:v>
                </c:pt>
                <c:pt idx="9">
                  <c:v>85.05</c:v>
                </c:pt>
                <c:pt idx="10">
                  <c:v>2536.136624794502</c:v>
                </c:pt>
              </c:numCache>
            </c:numRef>
          </c:val>
          <c:smooth val="0"/>
          <c:extLst>
            <c:ext xmlns:c16="http://schemas.microsoft.com/office/drawing/2014/chart" uri="{C3380CC4-5D6E-409C-BE32-E72D297353CC}">
              <c16:uniqueId val="{00000001-CD61-446E-9B8F-08AF99A48EFB}"/>
            </c:ext>
          </c:extLst>
        </c:ser>
        <c:dLbls>
          <c:showLegendKey val="0"/>
          <c:showVal val="0"/>
          <c:showCatName val="0"/>
          <c:showSerName val="0"/>
          <c:showPercent val="0"/>
          <c:showBubbleSize val="0"/>
        </c:dLbls>
        <c:marker val="1"/>
        <c:smooth val="0"/>
        <c:axId val="1706231393"/>
        <c:axId val="-301530078"/>
      </c:lineChart>
      <c:catAx>
        <c:axId val="170623139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301530078"/>
        <c:crosses val="autoZero"/>
        <c:auto val="1"/>
        <c:lblAlgn val="ctr"/>
        <c:lblOffset val="100"/>
        <c:noMultiLvlLbl val="0"/>
      </c:catAx>
      <c:valAx>
        <c:axId val="-301530078"/>
        <c:scaling>
          <c:orientation val="minMax"/>
        </c:scaling>
        <c:delete val="0"/>
        <c:axPos val="l"/>
        <c:majorGridlines>
          <c:spPr>
            <a:ln w="9525" cap="flat" cmpd="sng">
              <a:solidFill>
                <a:schemeClr val="tx1">
                  <a:lumMod val="15000"/>
                  <a:lumOff val="85000"/>
                </a:schemeClr>
              </a:solidFill>
              <a:round/>
            </a:ln>
            <a:effectLst/>
          </c:spPr>
        </c:majorGridlines>
        <c:numFmt formatCode="_ * #,##0_ ;_ * \-#,##0_ ;_ * &quot;-&quot;??_ ;_ @_ " sourceLinked="1"/>
        <c:majorTickMark val="none"/>
        <c:minorTickMark val="none"/>
        <c:tickLblPos val="nextTo"/>
        <c:spPr>
          <a:noFill/>
          <a:ln w="9525">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706231393"/>
        <c:crosses val="autoZero"/>
        <c:crossBetween val="between"/>
      </c:valAx>
      <c:spPr>
        <a:noFill/>
        <a:ln w="9525">
          <a:noFill/>
        </a:ln>
        <a:effectLst/>
      </c:spPr>
    </c:plotArea>
    <c:legend>
      <c:legendPos val="b"/>
      <c:overlay val="0"/>
      <c:spPr>
        <a:noFill/>
        <a:ln w="9525">
          <a:noFill/>
        </a:ln>
        <a:effectLst/>
      </c:spPr>
      <c:txPr>
        <a:bodyPr rot="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IN" sz="1400" b="0" i="0" u="none" baseline="0">
                <a:solidFill>
                  <a:schemeClr val="tx1">
                    <a:lumMod val="65000"/>
                    <a:lumOff val="35000"/>
                  </a:schemeClr>
                </a:solidFill>
                <a:latin typeface="+mn-lt"/>
                <a:ea typeface="+mn-ea"/>
                <a:cs typeface="+mn-cs"/>
              </a:rPr>
              <a:t>Net cashflows for ABC Group from the inv. in Option 3 (INR Cr)</a:t>
            </a:r>
          </a:p>
        </c:rich>
      </c:tx>
      <c:overlay val="0"/>
      <c:spPr>
        <a:noFill/>
        <a:ln w="9525">
          <a:noFill/>
        </a:ln>
        <a:effectLst/>
      </c:spPr>
    </c:title>
    <c:autoTitleDeleted val="0"/>
    <c:plotArea>
      <c:layout/>
      <c:lineChart>
        <c:grouping val="standard"/>
        <c:varyColors val="0"/>
        <c:ser>
          <c:idx val="1"/>
          <c:order val="0"/>
          <c:tx>
            <c:strRef>
              <c:f>'Results and Graphs'!$G$5</c:f>
              <c:strCache>
                <c:ptCount val="1"/>
                <c:pt idx="0">
                  <c:v>Option 3 - a</c:v>
                </c:pt>
              </c:strCache>
            </c:strRef>
          </c:tx>
          <c:spPr>
            <a:ln w="28575" cap="rnd" cmpd="sng">
              <a:solidFill>
                <a:schemeClr val="accent2"/>
              </a:solidFill>
              <a:round/>
            </a:ln>
            <a:effectLst/>
          </c:spPr>
          <c:marker>
            <c:symbol val="circle"/>
            <c:size val="5"/>
            <c:spPr>
              <a:solidFill>
                <a:schemeClr val="accent2"/>
              </a:solidFill>
              <a:ln w="9525" cap="flat" cmpd="sng">
                <a:solidFill>
                  <a:schemeClr val="accent2"/>
                </a:solidFill>
              </a:ln>
              <a:effectLst/>
            </c:spPr>
          </c:marker>
          <c:val>
            <c:numRef>
              <c:f>'Results and Graphs'!$G$6:$G$16</c:f>
              <c:numCache>
                <c:formatCode>_ * #,##0_ ;_ * \-#,##0_ ;_ * "-"??_ ;_ @_ </c:formatCode>
                <c:ptCount val="11"/>
                <c:pt idx="0">
                  <c:v>-1200</c:v>
                </c:pt>
                <c:pt idx="1">
                  <c:v>0</c:v>
                </c:pt>
                <c:pt idx="2">
                  <c:v>0</c:v>
                </c:pt>
                <c:pt idx="3">
                  <c:v>0</c:v>
                </c:pt>
                <c:pt idx="4">
                  <c:v>0</c:v>
                </c:pt>
                <c:pt idx="5">
                  <c:v>0</c:v>
                </c:pt>
                <c:pt idx="6">
                  <c:v>0</c:v>
                </c:pt>
                <c:pt idx="7">
                  <c:v>0</c:v>
                </c:pt>
                <c:pt idx="8">
                  <c:v>0</c:v>
                </c:pt>
                <c:pt idx="9">
                  <c:v>0</c:v>
                </c:pt>
                <c:pt idx="10">
                  <c:v>5964</c:v>
                </c:pt>
              </c:numCache>
            </c:numRef>
          </c:val>
          <c:smooth val="0"/>
          <c:extLst>
            <c:ext xmlns:c16="http://schemas.microsoft.com/office/drawing/2014/chart" uri="{C3380CC4-5D6E-409C-BE32-E72D297353CC}">
              <c16:uniqueId val="{00000000-4D9C-4F07-9433-42DCBA396D9B}"/>
            </c:ext>
          </c:extLst>
        </c:ser>
        <c:ser>
          <c:idx val="2"/>
          <c:order val="1"/>
          <c:tx>
            <c:strRef>
              <c:f>'Results and Graphs'!$H$5</c:f>
              <c:strCache>
                <c:ptCount val="1"/>
                <c:pt idx="0">
                  <c:v>Option 3 - b</c:v>
                </c:pt>
              </c:strCache>
            </c:strRef>
          </c:tx>
          <c:spPr>
            <a:ln w="28575" cap="rnd" cmpd="sng">
              <a:solidFill>
                <a:schemeClr val="accent3"/>
              </a:solidFill>
              <a:round/>
            </a:ln>
            <a:effectLst/>
          </c:spPr>
          <c:marker>
            <c:symbol val="circle"/>
            <c:size val="5"/>
            <c:spPr>
              <a:solidFill>
                <a:schemeClr val="accent3"/>
              </a:solidFill>
              <a:ln w="9525" cap="flat" cmpd="sng">
                <a:solidFill>
                  <a:schemeClr val="accent3"/>
                </a:solidFill>
              </a:ln>
              <a:effectLst/>
            </c:spPr>
          </c:marker>
          <c:val>
            <c:numRef>
              <c:f>'Results and Graphs'!$H$6:$H$16</c:f>
              <c:numCache>
                <c:formatCode>_ * #,##0_ ;_ * \-#,##0_ ;_ * "-"??_ ;_ @_ </c:formatCode>
                <c:ptCount val="11"/>
                <c:pt idx="0">
                  <c:v>-1200</c:v>
                </c:pt>
                <c:pt idx="1">
                  <c:v>0</c:v>
                </c:pt>
                <c:pt idx="2">
                  <c:v>0</c:v>
                </c:pt>
                <c:pt idx="3">
                  <c:v>0</c:v>
                </c:pt>
                <c:pt idx="4">
                  <c:v>0</c:v>
                </c:pt>
                <c:pt idx="5">
                  <c:v>0</c:v>
                </c:pt>
                <c:pt idx="6">
                  <c:v>0</c:v>
                </c:pt>
                <c:pt idx="7">
                  <c:v>0</c:v>
                </c:pt>
                <c:pt idx="8">
                  <c:v>0</c:v>
                </c:pt>
                <c:pt idx="9">
                  <c:v>0</c:v>
                </c:pt>
                <c:pt idx="10">
                  <c:v>4595.8886166749508</c:v>
                </c:pt>
              </c:numCache>
            </c:numRef>
          </c:val>
          <c:smooth val="0"/>
          <c:extLst>
            <c:ext xmlns:c16="http://schemas.microsoft.com/office/drawing/2014/chart" uri="{C3380CC4-5D6E-409C-BE32-E72D297353CC}">
              <c16:uniqueId val="{00000001-4D9C-4F07-9433-42DCBA396D9B}"/>
            </c:ext>
          </c:extLst>
        </c:ser>
        <c:dLbls>
          <c:showLegendKey val="0"/>
          <c:showVal val="0"/>
          <c:showCatName val="0"/>
          <c:showSerName val="0"/>
          <c:showPercent val="0"/>
          <c:showBubbleSize val="0"/>
        </c:dLbls>
        <c:marker val="1"/>
        <c:smooth val="0"/>
        <c:axId val="1517877250"/>
        <c:axId val="1871205330"/>
      </c:lineChart>
      <c:catAx>
        <c:axId val="1517877250"/>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871205330"/>
        <c:crosses val="autoZero"/>
        <c:auto val="1"/>
        <c:lblAlgn val="ctr"/>
        <c:lblOffset val="100"/>
        <c:noMultiLvlLbl val="0"/>
      </c:catAx>
      <c:valAx>
        <c:axId val="1871205330"/>
        <c:scaling>
          <c:orientation val="minMax"/>
        </c:scaling>
        <c:delete val="0"/>
        <c:axPos val="l"/>
        <c:majorGridlines>
          <c:spPr>
            <a:ln w="9525" cap="flat" cmpd="sng">
              <a:solidFill>
                <a:schemeClr val="tx1">
                  <a:lumMod val="15000"/>
                  <a:lumOff val="85000"/>
                </a:schemeClr>
              </a:solidFill>
              <a:round/>
            </a:ln>
            <a:effectLst/>
          </c:spPr>
        </c:majorGridlines>
        <c:numFmt formatCode="_ * #,##0_ ;_ * \-#,##0_ ;_ * &quot;-&quot;??_ ;_ @_ " sourceLinked="1"/>
        <c:majorTickMark val="none"/>
        <c:minorTickMark val="none"/>
        <c:tickLblPos val="nextTo"/>
        <c:spPr>
          <a:noFill/>
          <a:ln w="9525">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517877250"/>
        <c:crosses val="autoZero"/>
        <c:crossBetween val="between"/>
      </c:valAx>
      <c:spPr>
        <a:noFill/>
        <a:ln w="9525">
          <a:noFill/>
        </a:ln>
        <a:effectLst/>
      </c:spPr>
    </c:plotArea>
    <c:legend>
      <c:legendPos val="b"/>
      <c:overlay val="0"/>
      <c:spPr>
        <a:noFill/>
        <a:ln w="9525">
          <a:noFill/>
        </a:ln>
        <a:effectLst/>
      </c:spPr>
      <c:txPr>
        <a:bodyPr rot="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r>
              <a:rPr lang="en-US"/>
              <a:t> IRR Comparison of the scenarios and options evaluated</a:t>
            </a:r>
          </a:p>
        </c:rich>
      </c:tx>
      <c:overlay val="0"/>
      <c:spPr>
        <a:noFill/>
        <a:ln w="9525">
          <a:noFill/>
        </a:ln>
        <a:effectLst/>
      </c:spPr>
      <c:txPr>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'Results and Graphs'!$B$18</c:f>
              <c:strCache>
                <c:ptCount val="1"/>
                <c:pt idx="0">
                  <c:v>IRR</c:v>
                </c:pt>
              </c:strCache>
            </c:strRef>
          </c:tx>
          <c:spPr>
            <a:solidFill>
              <a:schemeClr val="accent1"/>
            </a:solidFill>
            <a:ln w="9525">
              <a:noFill/>
            </a:ln>
            <a:effectLst/>
          </c:spPr>
          <c:invertIfNegative val="0"/>
          <c:dLbls>
            <c:spPr>
              <a:noFill/>
              <a:ln w="9525">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and Graphs'!$C$5:$H$5</c:f>
              <c:strCache>
                <c:ptCount val="6"/>
                <c:pt idx="0">
                  <c:v>Option 1 - a</c:v>
                </c:pt>
                <c:pt idx="1">
                  <c:v>Option 1 - b</c:v>
                </c:pt>
                <c:pt idx="2">
                  <c:v>Option 2 - a</c:v>
                </c:pt>
                <c:pt idx="3">
                  <c:v>Option 2 - b</c:v>
                </c:pt>
                <c:pt idx="4">
                  <c:v>Option 3 - a</c:v>
                </c:pt>
                <c:pt idx="5">
                  <c:v>Option 3 - b</c:v>
                </c:pt>
              </c:strCache>
            </c:strRef>
          </c:cat>
          <c:val>
            <c:numRef>
              <c:f>'Results and Graphs'!$C$18:$H$18</c:f>
              <c:numCache>
                <c:formatCode>0%</c:formatCode>
                <c:ptCount val="6"/>
                <c:pt idx="0">
                  <c:v>0.14999999999999991</c:v>
                </c:pt>
                <c:pt idx="1">
                  <c:v>0.16766797564808833</c:v>
                </c:pt>
                <c:pt idx="2">
                  <c:v>0.1634832891541762</c:v>
                </c:pt>
                <c:pt idx="3">
                  <c:v>0.16702091419423026</c:v>
                </c:pt>
                <c:pt idx="4">
                  <c:v>0.17391226157666018</c:v>
                </c:pt>
                <c:pt idx="5">
                  <c:v>0.1437176542904226</c:v>
                </c:pt>
              </c:numCache>
            </c:numRef>
          </c:val>
          <c:extLst>
            <c:ext xmlns:c16="http://schemas.microsoft.com/office/drawing/2014/chart" uri="{C3380CC4-5D6E-409C-BE32-E72D297353CC}">
              <c16:uniqueId val="{00000000-38EF-4CA0-AF8A-67AC75B01FB5}"/>
            </c:ext>
          </c:extLst>
        </c:ser>
        <c:dLbls>
          <c:showLegendKey val="0"/>
          <c:showVal val="0"/>
          <c:showCatName val="0"/>
          <c:showSerName val="0"/>
          <c:showPercent val="0"/>
          <c:showBubbleSize val="0"/>
        </c:dLbls>
        <c:gapWidth val="182"/>
        <c:axId val="137198528"/>
        <c:axId val="121866208"/>
      </c:barChart>
      <c:catAx>
        <c:axId val="137198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21866208"/>
        <c:crosses val="autoZero"/>
        <c:auto val="1"/>
        <c:lblAlgn val="ctr"/>
        <c:lblOffset val="100"/>
        <c:noMultiLvlLbl val="0"/>
      </c:catAx>
      <c:valAx>
        <c:axId val="1218662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37198528"/>
        <c:crosses val="autoZero"/>
        <c:crossBetween val="between"/>
      </c:valAx>
      <c:spPr>
        <a:noFill/>
        <a:ln w="9525">
          <a:noFill/>
        </a:ln>
        <a:effectLst/>
      </c:spPr>
    </c:plotArea>
    <c:legend>
      <c:legendPos val="b"/>
      <c:overlay val="0"/>
      <c:spPr>
        <a:noFill/>
        <a:ln w="9525">
          <a:noFill/>
        </a:ln>
        <a:effectLst/>
      </c:spPr>
      <c:txPr>
        <a:bodyPr rot="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3.png"/><Relationship Id="rId7" Type="http://schemas.openxmlformats.org/officeDocument/2006/relationships/chart" Target="../charts/chart8.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7.xml"/><Relationship Id="rId11" Type="http://schemas.openxmlformats.org/officeDocument/2006/relationships/image" Target="../media/image6.png"/><Relationship Id="rId5" Type="http://schemas.openxmlformats.org/officeDocument/2006/relationships/chart" Target="../charts/chart6.xml"/><Relationship Id="rId10" Type="http://schemas.openxmlformats.org/officeDocument/2006/relationships/chart" Target="../charts/chart10.xml"/><Relationship Id="rId4" Type="http://schemas.openxmlformats.org/officeDocument/2006/relationships/image" Target="../media/image4.png"/><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266700</xdr:colOff>
      <xdr:row>3</xdr:row>
      <xdr:rowOff>88900</xdr:rowOff>
    </xdr:from>
    <xdr:to>
      <xdr:col>19</xdr:col>
      <xdr:colOff>76200</xdr:colOff>
      <xdr:row>18</xdr:row>
      <xdr:rowOff>63500</xdr:rowOff>
    </xdr:to>
    <xdr:graphicFrame macro="">
      <xdr:nvGraphicFramePr>
        <xdr:cNvPr id="3" name="Chart 2">
          <a:extLst>
            <a:ext uri="{FF2B5EF4-FFF2-40B4-BE49-F238E27FC236}">
              <a16:creationId xmlns:a16="http://schemas.microsoft.com/office/drawing/2014/main" id="{5C02AD9D-A2B9-4529-A5B9-1836572A79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279400</xdr:colOff>
      <xdr:row>19</xdr:row>
      <xdr:rowOff>38100</xdr:rowOff>
    </xdr:from>
    <xdr:to>
      <xdr:col>19</xdr:col>
      <xdr:colOff>88900</xdr:colOff>
      <xdr:row>34</xdr:row>
      <xdr:rowOff>12700</xdr:rowOff>
    </xdr:to>
    <xdr:graphicFrame macro="">
      <xdr:nvGraphicFramePr>
        <xdr:cNvPr id="4" name="Chart 3">
          <a:extLst>
            <a:ext uri="{FF2B5EF4-FFF2-40B4-BE49-F238E27FC236}">
              <a16:creationId xmlns:a16="http://schemas.microsoft.com/office/drawing/2014/main" id="{6353CB59-4849-419E-ABBF-3B40AF463A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279400</xdr:colOff>
      <xdr:row>34</xdr:row>
      <xdr:rowOff>177800</xdr:rowOff>
    </xdr:from>
    <xdr:to>
      <xdr:col>19</xdr:col>
      <xdr:colOff>88900</xdr:colOff>
      <xdr:row>49</xdr:row>
      <xdr:rowOff>152400</xdr:rowOff>
    </xdr:to>
    <xdr:graphicFrame macro="">
      <xdr:nvGraphicFramePr>
        <xdr:cNvPr id="5" name="Chart 4">
          <a:extLst>
            <a:ext uri="{FF2B5EF4-FFF2-40B4-BE49-F238E27FC236}">
              <a16:creationId xmlns:a16="http://schemas.microsoft.com/office/drawing/2014/main" id="{4DD760BE-5588-4323-B52F-97FB1DF59E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383116</xdr:colOff>
      <xdr:row>3</xdr:row>
      <xdr:rowOff>107950</xdr:rowOff>
    </xdr:from>
    <xdr:to>
      <xdr:col>32</xdr:col>
      <xdr:colOff>23283</xdr:colOff>
      <xdr:row>15</xdr:row>
      <xdr:rowOff>88900</xdr:rowOff>
    </xdr:to>
    <xdr:graphicFrame macro="">
      <xdr:nvGraphicFramePr>
        <xdr:cNvPr id="7" name="Chart 6">
          <a:extLst>
            <a:ext uri="{FF2B5EF4-FFF2-40B4-BE49-F238E27FC236}">
              <a16:creationId xmlns:a16="http://schemas.microsoft.com/office/drawing/2014/main" id="{28844F64-E700-DD71-6976-70863F11E9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391583</xdr:colOff>
      <xdr:row>16</xdr:row>
      <xdr:rowOff>105833</xdr:rowOff>
    </xdr:from>
    <xdr:to>
      <xdr:col>32</xdr:col>
      <xdr:colOff>31750</xdr:colOff>
      <xdr:row>28</xdr:row>
      <xdr:rowOff>86783</xdr:rowOff>
    </xdr:to>
    <xdr:graphicFrame macro="">
      <xdr:nvGraphicFramePr>
        <xdr:cNvPr id="8" name="Chart 7">
          <a:extLst>
            <a:ext uri="{FF2B5EF4-FFF2-40B4-BE49-F238E27FC236}">
              <a16:creationId xmlns:a16="http://schemas.microsoft.com/office/drawing/2014/main" id="{8F3F078B-2FB3-4CDD-A6E9-0F65C2362C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9</xdr:row>
      <xdr:rowOff>137584</xdr:rowOff>
    </xdr:from>
    <xdr:to>
      <xdr:col>0</xdr:col>
      <xdr:colOff>4987121</xdr:colOff>
      <xdr:row>9</xdr:row>
      <xdr:rowOff>1242541</xdr:rowOff>
    </xdr:to>
    <xdr:pic>
      <xdr:nvPicPr>
        <xdr:cNvPr id="4" name="Picture 3">
          <a:extLst>
            <a:ext uri="{FF2B5EF4-FFF2-40B4-BE49-F238E27FC236}">
              <a16:creationId xmlns:a16="http://schemas.microsoft.com/office/drawing/2014/main" id="{589E150A-8849-2D5A-86B6-09DC39ABB2DE}"/>
            </a:ext>
          </a:extLst>
        </xdr:cNvPr>
        <xdr:cNvPicPr>
          <a:picLocks noChangeAspect="1"/>
        </xdr:cNvPicPr>
      </xdr:nvPicPr>
      <xdr:blipFill>
        <a:blip xmlns:r="http://schemas.openxmlformats.org/officeDocument/2006/relationships" r:embed="rId1"/>
        <a:stretch>
          <a:fillRect/>
        </a:stretch>
      </xdr:blipFill>
      <xdr:spPr>
        <a:xfrm>
          <a:off x="52917" y="5376334"/>
          <a:ext cx="4934204" cy="1104957"/>
        </a:xfrm>
        <a:prstGeom prst="rect">
          <a:avLst/>
        </a:prstGeom>
      </xdr:spPr>
    </xdr:pic>
    <xdr:clientData/>
  </xdr:twoCellAnchor>
  <xdr:twoCellAnchor editAs="oneCell">
    <xdr:from>
      <xdr:col>0</xdr:col>
      <xdr:colOff>137583</xdr:colOff>
      <xdr:row>14</xdr:row>
      <xdr:rowOff>10585</xdr:rowOff>
    </xdr:from>
    <xdr:to>
      <xdr:col>0</xdr:col>
      <xdr:colOff>4201792</xdr:colOff>
      <xdr:row>14</xdr:row>
      <xdr:rowOff>512261</xdr:rowOff>
    </xdr:to>
    <xdr:pic>
      <xdr:nvPicPr>
        <xdr:cNvPr id="5" name="Picture 4">
          <a:extLst>
            <a:ext uri="{FF2B5EF4-FFF2-40B4-BE49-F238E27FC236}">
              <a16:creationId xmlns:a16="http://schemas.microsoft.com/office/drawing/2014/main" id="{9567946D-84F0-286E-EA3A-1C254EAFE220}"/>
            </a:ext>
          </a:extLst>
        </xdr:cNvPr>
        <xdr:cNvPicPr>
          <a:picLocks noChangeAspect="1"/>
        </xdr:cNvPicPr>
      </xdr:nvPicPr>
      <xdr:blipFill>
        <a:blip xmlns:r="http://schemas.openxmlformats.org/officeDocument/2006/relationships" r:embed="rId2"/>
        <a:stretch>
          <a:fillRect/>
        </a:stretch>
      </xdr:blipFill>
      <xdr:spPr>
        <a:xfrm>
          <a:off x="137583" y="10742085"/>
          <a:ext cx="4064209" cy="501676"/>
        </a:xfrm>
        <a:prstGeom prst="rect">
          <a:avLst/>
        </a:prstGeom>
      </xdr:spPr>
    </xdr:pic>
    <xdr:clientData/>
  </xdr:twoCellAnchor>
  <xdr:twoCellAnchor editAs="oneCell">
    <xdr:from>
      <xdr:col>0</xdr:col>
      <xdr:colOff>116417</xdr:colOff>
      <xdr:row>15</xdr:row>
      <xdr:rowOff>31750</xdr:rowOff>
    </xdr:from>
    <xdr:to>
      <xdr:col>0</xdr:col>
      <xdr:colOff>5965068</xdr:colOff>
      <xdr:row>15</xdr:row>
      <xdr:rowOff>1771739</xdr:rowOff>
    </xdr:to>
    <xdr:pic>
      <xdr:nvPicPr>
        <xdr:cNvPr id="6" name="Picture 5">
          <a:extLst>
            <a:ext uri="{FF2B5EF4-FFF2-40B4-BE49-F238E27FC236}">
              <a16:creationId xmlns:a16="http://schemas.microsoft.com/office/drawing/2014/main" id="{2D795571-A3E5-F9F2-7734-A3E2A6FF3BB5}"/>
            </a:ext>
          </a:extLst>
        </xdr:cNvPr>
        <xdr:cNvPicPr>
          <a:picLocks noChangeAspect="1"/>
        </xdr:cNvPicPr>
      </xdr:nvPicPr>
      <xdr:blipFill>
        <a:blip xmlns:r="http://schemas.openxmlformats.org/officeDocument/2006/relationships" r:embed="rId3"/>
        <a:stretch>
          <a:fillRect/>
        </a:stretch>
      </xdr:blipFill>
      <xdr:spPr>
        <a:xfrm>
          <a:off x="116417" y="11027833"/>
          <a:ext cx="5848651" cy="1739989"/>
        </a:xfrm>
        <a:prstGeom prst="rect">
          <a:avLst/>
        </a:prstGeom>
      </xdr:spPr>
    </xdr:pic>
    <xdr:clientData/>
  </xdr:twoCellAnchor>
  <xdr:twoCellAnchor editAs="oneCell">
    <xdr:from>
      <xdr:col>0</xdr:col>
      <xdr:colOff>63500</xdr:colOff>
      <xdr:row>15</xdr:row>
      <xdr:rowOff>1788583</xdr:rowOff>
    </xdr:from>
    <xdr:to>
      <xdr:col>0</xdr:col>
      <xdr:colOff>4883398</xdr:colOff>
      <xdr:row>16</xdr:row>
      <xdr:rowOff>643504</xdr:rowOff>
    </xdr:to>
    <xdr:pic>
      <xdr:nvPicPr>
        <xdr:cNvPr id="7" name="Picture 6">
          <a:extLst>
            <a:ext uri="{FF2B5EF4-FFF2-40B4-BE49-F238E27FC236}">
              <a16:creationId xmlns:a16="http://schemas.microsoft.com/office/drawing/2014/main" id="{34D32F74-2FB1-A2AE-46F8-0D65D7B1F2BE}"/>
            </a:ext>
          </a:extLst>
        </xdr:cNvPr>
        <xdr:cNvPicPr>
          <a:picLocks noChangeAspect="1"/>
        </xdr:cNvPicPr>
      </xdr:nvPicPr>
      <xdr:blipFill>
        <a:blip xmlns:r="http://schemas.openxmlformats.org/officeDocument/2006/relationships" r:embed="rId4"/>
        <a:stretch>
          <a:fillRect/>
        </a:stretch>
      </xdr:blipFill>
      <xdr:spPr>
        <a:xfrm>
          <a:off x="63500" y="12784666"/>
          <a:ext cx="4819898" cy="749339"/>
        </a:xfrm>
        <a:prstGeom prst="rect">
          <a:avLst/>
        </a:prstGeom>
      </xdr:spPr>
    </xdr:pic>
    <xdr:clientData/>
  </xdr:twoCellAnchor>
  <xdr:twoCellAnchor>
    <xdr:from>
      <xdr:col>0</xdr:col>
      <xdr:colOff>119063</xdr:colOff>
      <xdr:row>65</xdr:row>
      <xdr:rowOff>682625</xdr:rowOff>
    </xdr:from>
    <xdr:to>
      <xdr:col>0</xdr:col>
      <xdr:colOff>6040438</xdr:colOff>
      <xdr:row>67</xdr:row>
      <xdr:rowOff>38099</xdr:rowOff>
    </xdr:to>
    <xdr:graphicFrame macro="">
      <xdr:nvGraphicFramePr>
        <xdr:cNvPr id="11" name="Chart 10">
          <a:extLst>
            <a:ext uri="{FF2B5EF4-FFF2-40B4-BE49-F238E27FC236}">
              <a16:creationId xmlns:a16="http://schemas.microsoft.com/office/drawing/2014/main" id="{FAE7B389-6DE3-46CA-9237-8BCB68EB1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6442075</xdr:colOff>
      <xdr:row>65</xdr:row>
      <xdr:rowOff>203200</xdr:rowOff>
    </xdr:from>
    <xdr:to>
      <xdr:col>0</xdr:col>
      <xdr:colOff>12363450</xdr:colOff>
      <xdr:row>65</xdr:row>
      <xdr:rowOff>2257424</xdr:rowOff>
    </xdr:to>
    <xdr:graphicFrame macro="">
      <xdr:nvGraphicFramePr>
        <xdr:cNvPr id="12" name="Chart 11">
          <a:extLst>
            <a:ext uri="{FF2B5EF4-FFF2-40B4-BE49-F238E27FC236}">
              <a16:creationId xmlns:a16="http://schemas.microsoft.com/office/drawing/2014/main" id="{EAE585A3-F7D9-4BF1-9F41-C63BF0DC94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12696825</xdr:colOff>
      <xdr:row>65</xdr:row>
      <xdr:rowOff>212994</xdr:rowOff>
    </xdr:from>
    <xdr:to>
      <xdr:col>2</xdr:col>
      <xdr:colOff>155575</xdr:colOff>
      <xdr:row>65</xdr:row>
      <xdr:rowOff>2259541</xdr:rowOff>
    </xdr:to>
    <xdr:graphicFrame macro="">
      <xdr:nvGraphicFramePr>
        <xdr:cNvPr id="13" name="Chart 12">
          <a:extLst>
            <a:ext uri="{FF2B5EF4-FFF2-40B4-BE49-F238E27FC236}">
              <a16:creationId xmlns:a16="http://schemas.microsoft.com/office/drawing/2014/main" id="{605328B5-64BB-4F7B-99E3-F328CAB436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169334</xdr:colOff>
      <xdr:row>60</xdr:row>
      <xdr:rowOff>74083</xdr:rowOff>
    </xdr:from>
    <xdr:to>
      <xdr:col>0</xdr:col>
      <xdr:colOff>3338147</xdr:colOff>
      <xdr:row>60</xdr:row>
      <xdr:rowOff>1966480</xdr:rowOff>
    </xdr:to>
    <xdr:pic>
      <xdr:nvPicPr>
        <xdr:cNvPr id="2" name="Picture 1">
          <a:extLst>
            <a:ext uri="{FF2B5EF4-FFF2-40B4-BE49-F238E27FC236}">
              <a16:creationId xmlns:a16="http://schemas.microsoft.com/office/drawing/2014/main" id="{B73BB56E-0001-EC26-EF79-7211E7566013}"/>
            </a:ext>
          </a:extLst>
        </xdr:cNvPr>
        <xdr:cNvPicPr>
          <a:picLocks noChangeAspect="1"/>
        </xdr:cNvPicPr>
      </xdr:nvPicPr>
      <xdr:blipFill>
        <a:blip xmlns:r="http://schemas.openxmlformats.org/officeDocument/2006/relationships" r:embed="rId8"/>
        <a:stretch>
          <a:fillRect/>
        </a:stretch>
      </xdr:blipFill>
      <xdr:spPr>
        <a:xfrm>
          <a:off x="169334" y="26299583"/>
          <a:ext cx="3168813" cy="1892397"/>
        </a:xfrm>
        <a:prstGeom prst="rect">
          <a:avLst/>
        </a:prstGeom>
      </xdr:spPr>
    </xdr:pic>
    <xdr:clientData/>
  </xdr:twoCellAnchor>
  <xdr:twoCellAnchor>
    <xdr:from>
      <xdr:col>0</xdr:col>
      <xdr:colOff>0</xdr:colOff>
      <xdr:row>62</xdr:row>
      <xdr:rowOff>0</xdr:rowOff>
    </xdr:from>
    <xdr:to>
      <xdr:col>0</xdr:col>
      <xdr:colOff>7620000</xdr:colOff>
      <xdr:row>63</xdr:row>
      <xdr:rowOff>142875</xdr:rowOff>
    </xdr:to>
    <xdr:graphicFrame macro="">
      <xdr:nvGraphicFramePr>
        <xdr:cNvPr id="14" name="Chart 13">
          <a:extLst>
            <a:ext uri="{FF2B5EF4-FFF2-40B4-BE49-F238E27FC236}">
              <a16:creationId xmlns:a16="http://schemas.microsoft.com/office/drawing/2014/main" id="{CB77601A-AC24-4F27-8D17-D49A2BD3C3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7977717</xdr:colOff>
      <xdr:row>62</xdr:row>
      <xdr:rowOff>8467</xdr:rowOff>
    </xdr:from>
    <xdr:to>
      <xdr:col>0</xdr:col>
      <xdr:colOff>15597717</xdr:colOff>
      <xdr:row>63</xdr:row>
      <xdr:rowOff>158751</xdr:rowOff>
    </xdr:to>
    <xdr:graphicFrame macro="">
      <xdr:nvGraphicFramePr>
        <xdr:cNvPr id="15" name="Chart 14">
          <a:extLst>
            <a:ext uri="{FF2B5EF4-FFF2-40B4-BE49-F238E27FC236}">
              <a16:creationId xmlns:a16="http://schemas.microsoft.com/office/drawing/2014/main" id="{6346B793-07DA-422E-917D-AD8B2B2F58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119063</xdr:colOff>
      <xdr:row>11</xdr:row>
      <xdr:rowOff>190500</xdr:rowOff>
    </xdr:from>
    <xdr:to>
      <xdr:col>0</xdr:col>
      <xdr:colOff>4367431</xdr:colOff>
      <xdr:row>12</xdr:row>
      <xdr:rowOff>2092440</xdr:rowOff>
    </xdr:to>
    <xdr:pic>
      <xdr:nvPicPr>
        <xdr:cNvPr id="3" name="Picture 2">
          <a:extLst>
            <a:ext uri="{FF2B5EF4-FFF2-40B4-BE49-F238E27FC236}">
              <a16:creationId xmlns:a16="http://schemas.microsoft.com/office/drawing/2014/main" id="{A3D4D591-F945-1976-92D4-0A9B98029B08}"/>
            </a:ext>
          </a:extLst>
        </xdr:cNvPr>
        <xdr:cNvPicPr>
          <a:picLocks noChangeAspect="1"/>
        </xdr:cNvPicPr>
      </xdr:nvPicPr>
      <xdr:blipFill>
        <a:blip xmlns:r="http://schemas.openxmlformats.org/officeDocument/2006/relationships" r:embed="rId11"/>
        <a:stretch>
          <a:fillRect/>
        </a:stretch>
      </xdr:blipFill>
      <xdr:spPr>
        <a:xfrm>
          <a:off x="119063" y="7754938"/>
          <a:ext cx="4248368" cy="22353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5CCF-417C-451F-BDA9-38783B5072E8}">
  <dimension ref="B1:I45"/>
  <sheetViews>
    <sheetView showGridLines="0" zoomScale="50" zoomScaleNormal="50" workbookViewId="0">
      <selection activeCell="H10" sqref="H10"/>
    </sheetView>
  </sheetViews>
  <sheetFormatPr defaultRowHeight="15" customHeight="1" x14ac:dyDescent="0.35"/>
  <cols>
    <col min="1" max="1" width="1" style="18" customWidth="1"/>
    <col min="2" max="2" width="44.36328125" style="18" bestFit="1" customWidth="1"/>
    <col min="3" max="3" width="20.1796875" style="19" customWidth="1"/>
    <col min="4" max="4" width="21.90625" style="19" customWidth="1"/>
    <col min="5" max="5" width="16.1796875" style="19" customWidth="1"/>
    <col min="6" max="7" width="8.7265625" style="18"/>
    <col min="8" max="8" width="59.26953125" style="18" customWidth="1"/>
    <col min="9" max="9" width="58.36328125" style="18" customWidth="1"/>
    <col min="10" max="16384" width="8.7265625" style="18"/>
  </cols>
  <sheetData>
    <row r="1" spans="2:9" ht="7" customHeight="1" x14ac:dyDescent="0.35"/>
    <row r="2" spans="2:9" ht="15" customHeight="1" x14ac:dyDescent="0.35">
      <c r="B2" s="20" t="s">
        <v>13</v>
      </c>
      <c r="C2" s="21" t="s">
        <v>28</v>
      </c>
      <c r="D2" s="21" t="s">
        <v>29</v>
      </c>
      <c r="E2" s="21" t="s">
        <v>30</v>
      </c>
      <c r="H2" s="20" t="s">
        <v>109</v>
      </c>
    </row>
    <row r="3" spans="2:9" ht="15" customHeight="1" x14ac:dyDescent="0.35">
      <c r="B3" s="22" t="s">
        <v>0</v>
      </c>
      <c r="C3" s="65">
        <v>1200</v>
      </c>
      <c r="D3" s="65">
        <v>1575</v>
      </c>
      <c r="E3" s="65">
        <v>1200</v>
      </c>
    </row>
    <row r="4" spans="2:9" ht="15" customHeight="1" x14ac:dyDescent="0.35">
      <c r="B4" s="22" t="s">
        <v>108</v>
      </c>
      <c r="C4" s="67">
        <v>0.3</v>
      </c>
      <c r="D4" s="67">
        <v>0.45</v>
      </c>
      <c r="E4" s="66" t="s">
        <v>17</v>
      </c>
      <c r="H4" s="20" t="s">
        <v>35</v>
      </c>
    </row>
    <row r="5" spans="2:9" ht="15" customHeight="1" x14ac:dyDescent="0.35">
      <c r="B5" s="22" t="s">
        <v>27</v>
      </c>
      <c r="C5" s="65" t="s">
        <v>17</v>
      </c>
      <c r="D5" s="65" t="s">
        <v>17</v>
      </c>
      <c r="E5" s="65">
        <v>1300</v>
      </c>
      <c r="H5" s="75" t="s">
        <v>140</v>
      </c>
      <c r="I5" s="22">
        <v>2600</v>
      </c>
    </row>
    <row r="6" spans="2:9" ht="15" customHeight="1" x14ac:dyDescent="0.35">
      <c r="B6" s="22" t="s">
        <v>4</v>
      </c>
      <c r="C6" s="65">
        <v>5</v>
      </c>
      <c r="D6" s="65" t="s">
        <v>17</v>
      </c>
      <c r="E6" s="65" t="s">
        <v>17</v>
      </c>
      <c r="F6" s="23"/>
      <c r="H6" s="75" t="s">
        <v>113</v>
      </c>
      <c r="I6" s="22">
        <v>600</v>
      </c>
    </row>
    <row r="7" spans="2:9" ht="15" customHeight="1" x14ac:dyDescent="0.35">
      <c r="B7" s="22" t="s">
        <v>19</v>
      </c>
      <c r="C7" s="67">
        <v>0.4</v>
      </c>
      <c r="D7" s="67">
        <v>0</v>
      </c>
      <c r="E7" s="66" t="s">
        <v>17</v>
      </c>
      <c r="H7" s="75" t="s">
        <v>114</v>
      </c>
      <c r="I7" s="22">
        <v>600</v>
      </c>
    </row>
    <row r="8" spans="2:9" ht="15" customHeight="1" x14ac:dyDescent="0.35">
      <c r="B8" s="22" t="s">
        <v>5</v>
      </c>
      <c r="C8" s="65">
        <v>10</v>
      </c>
      <c r="D8" s="65">
        <v>10</v>
      </c>
      <c r="E8" s="65">
        <v>10</v>
      </c>
      <c r="H8" s="75" t="s">
        <v>115</v>
      </c>
      <c r="I8" s="22">
        <f>2*I7</f>
        <v>1200</v>
      </c>
    </row>
    <row r="9" spans="2:9" ht="15" customHeight="1" x14ac:dyDescent="0.35">
      <c r="B9" s="10" t="s">
        <v>12</v>
      </c>
      <c r="C9" s="65" t="s">
        <v>17</v>
      </c>
      <c r="D9" s="65" t="s">
        <v>17</v>
      </c>
      <c r="E9" s="65">
        <v>2.5</v>
      </c>
      <c r="H9" s="75" t="s">
        <v>120</v>
      </c>
      <c r="I9" s="82">
        <v>0.05</v>
      </c>
    </row>
    <row r="10" spans="2:9" ht="15" customHeight="1" x14ac:dyDescent="0.35">
      <c r="B10" s="19"/>
    </row>
    <row r="11" spans="2:9" ht="15" customHeight="1" x14ac:dyDescent="0.35">
      <c r="D11" s="24"/>
      <c r="H11" s="25" t="s">
        <v>18</v>
      </c>
      <c r="I11" s="25" t="s">
        <v>111</v>
      </c>
    </row>
    <row r="12" spans="2:9" ht="15" customHeight="1" x14ac:dyDescent="0.35">
      <c r="B12" s="20" t="s">
        <v>14</v>
      </c>
      <c r="C12" s="21" t="s">
        <v>28</v>
      </c>
      <c r="D12" s="21" t="s">
        <v>29</v>
      </c>
      <c r="E12" s="21" t="s">
        <v>30</v>
      </c>
      <c r="H12" s="22">
        <v>1</v>
      </c>
      <c r="I12" s="26">
        <v>0.1</v>
      </c>
    </row>
    <row r="13" spans="2:9" ht="15" customHeight="1" x14ac:dyDescent="0.35">
      <c r="B13" s="22" t="s">
        <v>3</v>
      </c>
      <c r="C13" s="67">
        <v>0.15</v>
      </c>
      <c r="D13" s="68">
        <v>0.1</v>
      </c>
      <c r="E13" s="65" t="s">
        <v>17</v>
      </c>
      <c r="H13" s="22">
        <v>2</v>
      </c>
      <c r="I13" s="26">
        <v>0.1</v>
      </c>
    </row>
    <row r="14" spans="2:9" ht="15" customHeight="1" x14ac:dyDescent="0.35">
      <c r="B14" s="22" t="s">
        <v>8</v>
      </c>
      <c r="C14" s="65" t="s">
        <v>17</v>
      </c>
      <c r="D14" s="68">
        <v>0.09</v>
      </c>
      <c r="E14" s="65" t="s">
        <v>17</v>
      </c>
      <c r="H14" s="22">
        <v>3</v>
      </c>
      <c r="I14" s="26">
        <v>0.1</v>
      </c>
    </row>
    <row r="15" spans="2:9" ht="15" customHeight="1" x14ac:dyDescent="0.35">
      <c r="H15" s="22">
        <v>4</v>
      </c>
      <c r="I15" s="26">
        <v>0.1</v>
      </c>
    </row>
    <row r="16" spans="2:9" ht="15" customHeight="1" x14ac:dyDescent="0.35">
      <c r="H16" s="22">
        <v>5</v>
      </c>
      <c r="I16" s="26">
        <v>0.1</v>
      </c>
    </row>
    <row r="17" spans="2:9" ht="15" customHeight="1" x14ac:dyDescent="0.35">
      <c r="B17" s="20" t="s">
        <v>73</v>
      </c>
      <c r="H17" s="22">
        <v>6</v>
      </c>
      <c r="I17" s="26">
        <v>7.0000000000000007E-2</v>
      </c>
    </row>
    <row r="18" spans="2:9" ht="15" customHeight="1" x14ac:dyDescent="0.35">
      <c r="B18" s="1" t="s">
        <v>6</v>
      </c>
      <c r="C18" s="1" t="s">
        <v>31</v>
      </c>
      <c r="H18" s="22">
        <v>7</v>
      </c>
      <c r="I18" s="26">
        <v>7.0000000000000007E-2</v>
      </c>
    </row>
    <row r="19" spans="2:9" ht="15" customHeight="1" x14ac:dyDescent="0.35">
      <c r="B19" s="17">
        <v>1</v>
      </c>
      <c r="C19" s="64">
        <v>700</v>
      </c>
      <c r="H19" s="22">
        <v>8</v>
      </c>
      <c r="I19" s="26">
        <v>7.0000000000000007E-2</v>
      </c>
    </row>
    <row r="20" spans="2:9" ht="15" customHeight="1" x14ac:dyDescent="0.35">
      <c r="B20" s="17">
        <v>2</v>
      </c>
      <c r="C20" s="64">
        <v>952</v>
      </c>
      <c r="H20" s="22">
        <v>9</v>
      </c>
      <c r="I20" s="26">
        <v>7.0000000000000007E-2</v>
      </c>
    </row>
    <row r="21" spans="2:9" ht="15" customHeight="1" x14ac:dyDescent="0.35">
      <c r="B21" s="17">
        <v>3</v>
      </c>
      <c r="C21" s="64">
        <v>1238</v>
      </c>
      <c r="H21" s="22">
        <v>10</v>
      </c>
      <c r="I21" s="26">
        <v>7.0000000000000007E-2</v>
      </c>
    </row>
    <row r="22" spans="2:9" ht="15" customHeight="1" x14ac:dyDescent="0.35">
      <c r="B22" s="17">
        <v>4</v>
      </c>
      <c r="C22" s="64">
        <v>1572</v>
      </c>
    </row>
    <row r="23" spans="2:9" ht="15" customHeight="1" x14ac:dyDescent="0.35">
      <c r="B23" s="17">
        <v>5</v>
      </c>
      <c r="C23" s="64">
        <v>1949</v>
      </c>
      <c r="H23" s="25" t="s">
        <v>36</v>
      </c>
    </row>
    <row r="24" spans="2:9" ht="15" customHeight="1" x14ac:dyDescent="0.35">
      <c r="B24" s="17">
        <v>6</v>
      </c>
      <c r="C24" s="64">
        <v>2378</v>
      </c>
      <c r="H24" s="22" t="s">
        <v>4</v>
      </c>
      <c r="I24" s="22">
        <v>5</v>
      </c>
    </row>
    <row r="25" spans="2:9" ht="15" customHeight="1" x14ac:dyDescent="0.35">
      <c r="B25" s="17">
        <v>7</v>
      </c>
      <c r="C25" s="64">
        <v>2877</v>
      </c>
      <c r="H25" s="22" t="s">
        <v>19</v>
      </c>
      <c r="I25" s="26">
        <v>0.4</v>
      </c>
    </row>
    <row r="26" spans="2:9" ht="15" customHeight="1" x14ac:dyDescent="0.35">
      <c r="B26" s="17">
        <v>8</v>
      </c>
      <c r="C26" s="64">
        <v>3452</v>
      </c>
    </row>
    <row r="27" spans="2:9" ht="15" customHeight="1" x14ac:dyDescent="0.35">
      <c r="B27" s="17">
        <v>9</v>
      </c>
      <c r="C27" s="64">
        <v>4142</v>
      </c>
    </row>
    <row r="28" spans="2:9" ht="15" customHeight="1" x14ac:dyDescent="0.35">
      <c r="B28" s="17">
        <v>10</v>
      </c>
      <c r="C28" s="64">
        <v>4970</v>
      </c>
      <c r="H28" s="25" t="s">
        <v>37</v>
      </c>
    </row>
    <row r="29" spans="2:9" ht="15" customHeight="1" x14ac:dyDescent="0.35">
      <c r="H29" s="22" t="s">
        <v>38</v>
      </c>
      <c r="I29" s="26">
        <v>7.0000000000000007E-2</v>
      </c>
    </row>
    <row r="30" spans="2:9" ht="15" customHeight="1" x14ac:dyDescent="0.35">
      <c r="H30" s="22" t="s">
        <v>41</v>
      </c>
      <c r="I30" s="27">
        <v>-200</v>
      </c>
    </row>
    <row r="31" spans="2:9" ht="15" customHeight="1" x14ac:dyDescent="0.35">
      <c r="H31" s="22" t="s">
        <v>43</v>
      </c>
      <c r="I31" s="22">
        <v>10</v>
      </c>
    </row>
    <row r="33" spans="8:9" ht="15" customHeight="1" x14ac:dyDescent="0.35">
      <c r="H33" s="63" t="s">
        <v>39</v>
      </c>
    </row>
    <row r="34" spans="8:9" ht="15" customHeight="1" x14ac:dyDescent="0.35">
      <c r="H34" s="1" t="s">
        <v>6</v>
      </c>
      <c r="I34" s="1" t="s">
        <v>40</v>
      </c>
    </row>
    <row r="35" spans="8:9" ht="15" customHeight="1" x14ac:dyDescent="0.35">
      <c r="H35" s="11">
        <v>0</v>
      </c>
      <c r="I35" s="12"/>
    </row>
    <row r="36" spans="8:9" ht="15" customHeight="1" x14ac:dyDescent="0.35">
      <c r="H36" s="11">
        <v>1</v>
      </c>
      <c r="I36" s="13">
        <v>-0.15</v>
      </c>
    </row>
    <row r="37" spans="8:9" ht="15" customHeight="1" x14ac:dyDescent="0.35">
      <c r="H37" s="11">
        <v>2</v>
      </c>
      <c r="I37" s="13">
        <v>-0.1</v>
      </c>
    </row>
    <row r="38" spans="8:9" ht="15" customHeight="1" x14ac:dyDescent="0.35">
      <c r="H38" s="11">
        <v>3</v>
      </c>
      <c r="I38" s="13">
        <v>-0.05</v>
      </c>
    </row>
    <row r="39" spans="8:9" ht="15" customHeight="1" x14ac:dyDescent="0.35">
      <c r="H39" s="11">
        <v>4</v>
      </c>
      <c r="I39" s="13">
        <v>-0.03</v>
      </c>
    </row>
    <row r="40" spans="8:9" ht="15" customHeight="1" x14ac:dyDescent="0.35">
      <c r="H40" s="11">
        <v>5</v>
      </c>
      <c r="I40" s="13">
        <v>-0.01</v>
      </c>
    </row>
    <row r="41" spans="8:9" ht="15" customHeight="1" x14ac:dyDescent="0.35">
      <c r="H41" s="11">
        <v>6</v>
      </c>
      <c r="I41" s="14">
        <v>0.04</v>
      </c>
    </row>
    <row r="42" spans="8:9" ht="15" customHeight="1" x14ac:dyDescent="0.35">
      <c r="H42" s="11">
        <v>7</v>
      </c>
      <c r="I42" s="14">
        <v>7.0000000000000007E-2</v>
      </c>
    </row>
    <row r="43" spans="8:9" ht="15" customHeight="1" x14ac:dyDescent="0.35">
      <c r="H43" s="11">
        <v>8</v>
      </c>
      <c r="I43" s="14">
        <v>0.09</v>
      </c>
    </row>
    <row r="44" spans="8:9" ht="15" customHeight="1" x14ac:dyDescent="0.35">
      <c r="H44" s="11">
        <v>9</v>
      </c>
      <c r="I44" s="14">
        <v>0.12</v>
      </c>
    </row>
    <row r="45" spans="8:9" ht="15" customHeight="1" x14ac:dyDescent="0.35">
      <c r="H45" s="11">
        <v>10</v>
      </c>
      <c r="I45" s="14">
        <v>0.13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534F-EFB5-4FDC-8451-3BE2B7846E32}">
  <sheetPr>
    <tabColor theme="5" tint="0.79998168889431442"/>
  </sheetPr>
  <dimension ref="A2:A143"/>
  <sheetViews>
    <sheetView showGridLines="0" tabSelected="1" topLeftCell="A152" zoomScale="80" zoomScaleNormal="80" workbookViewId="0">
      <selection activeCell="A155" sqref="A155"/>
    </sheetView>
  </sheetViews>
  <sheetFormatPr defaultColWidth="8.81640625" defaultRowHeight="15" customHeight="1" x14ac:dyDescent="0.35"/>
  <cols>
    <col min="1" max="1" width="255.6328125" style="91" customWidth="1"/>
  </cols>
  <sheetData>
    <row r="2" spans="1:1" ht="15" customHeight="1" x14ac:dyDescent="0.35">
      <c r="A2" s="8" t="s">
        <v>59</v>
      </c>
    </row>
    <row r="3" spans="1:1" ht="72.5" x14ac:dyDescent="0.35">
      <c r="A3" s="93" t="s">
        <v>60</v>
      </c>
    </row>
    <row r="4" spans="1:1" ht="15" customHeight="1" x14ac:dyDescent="0.35">
      <c r="A4" s="93"/>
    </row>
    <row r="5" spans="1:1" ht="15" customHeight="1" x14ac:dyDescent="0.35">
      <c r="A5" s="8" t="s">
        <v>87</v>
      </c>
    </row>
    <row r="6" spans="1:1" ht="275.5" x14ac:dyDescent="0.35">
      <c r="A6" s="93" t="s">
        <v>160</v>
      </c>
    </row>
    <row r="8" spans="1:1" ht="15" customHeight="1" x14ac:dyDescent="0.35">
      <c r="A8" s="8" t="s">
        <v>72</v>
      </c>
    </row>
    <row r="9" spans="1:1" ht="15" customHeight="1" x14ac:dyDescent="0.35">
      <c r="A9" s="93" t="s">
        <v>61</v>
      </c>
    </row>
    <row r="10" spans="1:1" ht="116.5" customHeight="1" x14ac:dyDescent="0.35">
      <c r="A10" s="93"/>
    </row>
    <row r="11" spans="1:1" ht="26.5" customHeight="1" x14ac:dyDescent="0.35">
      <c r="A11" s="93" t="s">
        <v>124</v>
      </c>
    </row>
    <row r="12" spans="1:1" ht="26.5" customHeight="1" x14ac:dyDescent="0.35">
      <c r="A12" s="93"/>
    </row>
    <row r="13" spans="1:1" ht="176.5" customHeight="1" x14ac:dyDescent="0.35">
      <c r="A13" s="93"/>
    </row>
    <row r="14" spans="1:1" ht="19" customHeight="1" x14ac:dyDescent="0.35">
      <c r="A14" s="93" t="s">
        <v>74</v>
      </c>
    </row>
    <row r="15" spans="1:1" ht="61.5" customHeight="1" x14ac:dyDescent="0.35">
      <c r="A15" s="93"/>
    </row>
    <row r="16" spans="1:1" ht="149" customHeight="1" x14ac:dyDescent="0.35">
      <c r="A16" s="93"/>
    </row>
    <row r="17" spans="1:1" ht="56.5" customHeight="1" x14ac:dyDescent="0.35">
      <c r="A17" s="93"/>
    </row>
    <row r="18" spans="1:1" ht="31.5" customHeight="1" x14ac:dyDescent="0.35">
      <c r="A18" s="93"/>
    </row>
    <row r="19" spans="1:1" ht="15.5" customHeight="1" x14ac:dyDescent="0.35">
      <c r="A19" s="8" t="s">
        <v>51</v>
      </c>
    </row>
    <row r="20" spans="1:1" ht="15.5" customHeight="1" x14ac:dyDescent="0.35">
      <c r="A20" s="93" t="s">
        <v>75</v>
      </c>
    </row>
    <row r="21" spans="1:1" ht="14.5" x14ac:dyDescent="0.35">
      <c r="A21" s="93" t="s">
        <v>76</v>
      </c>
    </row>
    <row r="22" spans="1:1" ht="14.5" x14ac:dyDescent="0.35">
      <c r="A22" s="93" t="s">
        <v>77</v>
      </c>
    </row>
    <row r="23" spans="1:1" ht="14.5" x14ac:dyDescent="0.35">
      <c r="A23" s="93" t="s">
        <v>78</v>
      </c>
    </row>
    <row r="24" spans="1:1" ht="14.5" x14ac:dyDescent="0.35">
      <c r="A24" s="93" t="s">
        <v>79</v>
      </c>
    </row>
    <row r="25" spans="1:1" ht="15" customHeight="1" x14ac:dyDescent="0.35">
      <c r="A25" s="93" t="s">
        <v>106</v>
      </c>
    </row>
    <row r="26" spans="1:1" ht="15" customHeight="1" x14ac:dyDescent="0.35">
      <c r="A26" s="93" t="s">
        <v>110</v>
      </c>
    </row>
    <row r="27" spans="1:1" ht="15" customHeight="1" x14ac:dyDescent="0.35">
      <c r="A27" s="93" t="s">
        <v>99</v>
      </c>
    </row>
    <row r="28" spans="1:1" ht="15" customHeight="1" x14ac:dyDescent="0.35">
      <c r="A28" s="93" t="s">
        <v>100</v>
      </c>
    </row>
    <row r="29" spans="1:1" ht="15" customHeight="1" x14ac:dyDescent="0.35">
      <c r="A29" s="93" t="s">
        <v>101</v>
      </c>
    </row>
    <row r="30" spans="1:1" ht="15" customHeight="1" x14ac:dyDescent="0.35">
      <c r="A30" s="93" t="s">
        <v>102</v>
      </c>
    </row>
    <row r="31" spans="1:1" ht="15" customHeight="1" x14ac:dyDescent="0.35">
      <c r="A31" s="93" t="s">
        <v>103</v>
      </c>
    </row>
    <row r="32" spans="1:1" ht="15" customHeight="1" x14ac:dyDescent="0.35">
      <c r="A32" s="93" t="s">
        <v>104</v>
      </c>
    </row>
    <row r="33" spans="1:1" ht="15" customHeight="1" x14ac:dyDescent="0.35">
      <c r="A33" s="93" t="s">
        <v>105</v>
      </c>
    </row>
    <row r="34" spans="1:1" ht="15" customHeight="1" x14ac:dyDescent="0.35">
      <c r="A34" s="93"/>
    </row>
    <row r="35" spans="1:1" ht="15" customHeight="1" x14ac:dyDescent="0.35">
      <c r="A35" s="8" t="s">
        <v>52</v>
      </c>
    </row>
    <row r="36" spans="1:1" ht="15" customHeight="1" x14ac:dyDescent="0.35">
      <c r="A36" s="5" t="s">
        <v>147</v>
      </c>
    </row>
    <row r="37" spans="1:1" ht="196.5" customHeight="1" x14ac:dyDescent="0.35">
      <c r="A37" s="93" t="s">
        <v>161</v>
      </c>
    </row>
    <row r="38" spans="1:1" ht="58" x14ac:dyDescent="0.35">
      <c r="A38" s="93" t="s">
        <v>162</v>
      </c>
    </row>
    <row r="39" spans="1:1" ht="49" customHeight="1" x14ac:dyDescent="0.35">
      <c r="A39" s="72" t="s">
        <v>163</v>
      </c>
    </row>
    <row r="40" spans="1:1" ht="26" customHeight="1" x14ac:dyDescent="0.35">
      <c r="A40" s="72"/>
    </row>
    <row r="41" spans="1:1" ht="15" customHeight="1" x14ac:dyDescent="0.35">
      <c r="A41" s="5" t="s">
        <v>148</v>
      </c>
    </row>
    <row r="42" spans="1:1" ht="15" customHeight="1" x14ac:dyDescent="0.35">
      <c r="A42" s="91" t="s">
        <v>158</v>
      </c>
    </row>
    <row r="43" spans="1:1" ht="15" customHeight="1" x14ac:dyDescent="0.35">
      <c r="A43" s="91" t="s">
        <v>149</v>
      </c>
    </row>
    <row r="45" spans="1:1" ht="15" customHeight="1" x14ac:dyDescent="0.35">
      <c r="A45" s="5" t="s">
        <v>150</v>
      </c>
    </row>
    <row r="46" spans="1:1" ht="15" customHeight="1" x14ac:dyDescent="0.35">
      <c r="A46" s="5" t="s">
        <v>151</v>
      </c>
    </row>
    <row r="47" spans="1:1" ht="14.5" customHeight="1" x14ac:dyDescent="0.35">
      <c r="A47" s="93" t="s">
        <v>152</v>
      </c>
    </row>
    <row r="48" spans="1:1" ht="17.5" customHeight="1" x14ac:dyDescent="0.35">
      <c r="A48" s="72"/>
    </row>
    <row r="49" spans="1:1" ht="130.5" x14ac:dyDescent="0.35">
      <c r="A49" s="72" t="s">
        <v>164</v>
      </c>
    </row>
    <row r="50" spans="1:1" ht="15" customHeight="1" x14ac:dyDescent="0.35">
      <c r="A50" s="8"/>
    </row>
    <row r="51" spans="1:1" ht="44" customHeight="1" x14ac:dyDescent="0.35">
      <c r="A51" s="72" t="s">
        <v>165</v>
      </c>
    </row>
    <row r="52" spans="1:1" ht="15" customHeight="1" x14ac:dyDescent="0.35">
      <c r="A52" s="93"/>
    </row>
    <row r="53" spans="1:1" ht="15" customHeight="1" x14ac:dyDescent="0.35">
      <c r="A53" s="94" t="s">
        <v>95</v>
      </c>
    </row>
    <row r="54" spans="1:1" ht="15" customHeight="1" x14ac:dyDescent="0.35">
      <c r="A54" s="94" t="s">
        <v>123</v>
      </c>
    </row>
    <row r="55" spans="1:1" ht="15" customHeight="1" x14ac:dyDescent="0.35">
      <c r="A55" s="94" t="s">
        <v>125</v>
      </c>
    </row>
    <row r="56" spans="1:1" ht="15" customHeight="1" x14ac:dyDescent="0.35">
      <c r="A56" s="94" t="s">
        <v>126</v>
      </c>
    </row>
    <row r="57" spans="1:1" ht="15" customHeight="1" x14ac:dyDescent="0.35">
      <c r="A57" s="94" t="s">
        <v>127</v>
      </c>
    </row>
    <row r="58" spans="1:1" ht="15" customHeight="1" x14ac:dyDescent="0.35">
      <c r="A58" s="93"/>
    </row>
    <row r="59" spans="1:1" ht="15" customHeight="1" x14ac:dyDescent="0.35">
      <c r="A59" s="8" t="s">
        <v>16</v>
      </c>
    </row>
    <row r="60" spans="1:1" ht="15" customHeight="1" x14ac:dyDescent="0.35">
      <c r="A60" s="93" t="s">
        <v>145</v>
      </c>
    </row>
    <row r="61" spans="1:1" ht="165" customHeight="1" x14ac:dyDescent="0.35">
      <c r="A61" s="93"/>
    </row>
    <row r="62" spans="1:1" ht="15" customHeight="1" x14ac:dyDescent="0.35">
      <c r="A62" s="93" t="s">
        <v>159</v>
      </c>
    </row>
    <row r="63" spans="1:1" ht="150" customHeight="1" x14ac:dyDescent="0.35">
      <c r="A63" s="93"/>
    </row>
    <row r="64" spans="1:1" ht="15" customHeight="1" x14ac:dyDescent="0.35">
      <c r="A64" s="93" t="s">
        <v>80</v>
      </c>
    </row>
    <row r="65" spans="1:1" ht="15" customHeight="1" x14ac:dyDescent="0.35">
      <c r="A65" s="93" t="s">
        <v>146</v>
      </c>
    </row>
    <row r="66" spans="1:1" ht="197.5" customHeight="1" x14ac:dyDescent="0.35">
      <c r="A66" s="93"/>
    </row>
    <row r="67" spans="1:1" ht="15" customHeight="1" x14ac:dyDescent="0.35">
      <c r="A67" s="93"/>
    </row>
    <row r="68" spans="1:1" s="8" customFormat="1" ht="15" customHeight="1" x14ac:dyDescent="0.35">
      <c r="A68" s="73" t="s">
        <v>53</v>
      </c>
    </row>
    <row r="69" spans="1:1" s="8" customFormat="1" ht="15" customHeight="1" x14ac:dyDescent="0.35">
      <c r="A69" s="73"/>
    </row>
    <row r="70" spans="1:1" s="8" customFormat="1" ht="15" customHeight="1" x14ac:dyDescent="0.35">
      <c r="A70" s="91" t="s">
        <v>88</v>
      </c>
    </row>
    <row r="71" spans="1:1" s="8" customFormat="1" ht="15" customHeight="1" x14ac:dyDescent="0.35">
      <c r="A71" s="91" t="s">
        <v>81</v>
      </c>
    </row>
    <row r="72" spans="1:1" s="8" customFormat="1" ht="15" customHeight="1" x14ac:dyDescent="0.35">
      <c r="A72" s="91" t="s">
        <v>82</v>
      </c>
    </row>
    <row r="73" spans="1:1" s="8" customFormat="1" ht="15" customHeight="1" x14ac:dyDescent="0.35">
      <c r="A73" s="91" t="s">
        <v>122</v>
      </c>
    </row>
    <row r="74" spans="1:1" s="8" customFormat="1" ht="15" customHeight="1" x14ac:dyDescent="0.35">
      <c r="A74" s="91"/>
    </row>
    <row r="75" spans="1:1" s="8" customFormat="1" ht="15" customHeight="1" x14ac:dyDescent="0.35">
      <c r="A75" s="91" t="s">
        <v>28</v>
      </c>
    </row>
    <row r="76" spans="1:1" s="8" customFormat="1" ht="15" customHeight="1" x14ac:dyDescent="0.35">
      <c r="A76" s="91" t="s">
        <v>128</v>
      </c>
    </row>
    <row r="77" spans="1:1" s="8" customFormat="1" ht="15" customHeight="1" x14ac:dyDescent="0.35">
      <c r="A77" s="91" t="s">
        <v>129</v>
      </c>
    </row>
    <row r="78" spans="1:1" s="8" customFormat="1" ht="15" customHeight="1" x14ac:dyDescent="0.35">
      <c r="A78" s="91" t="s">
        <v>141</v>
      </c>
    </row>
    <row r="79" spans="1:1" s="8" customFormat="1" ht="15" customHeight="1" x14ac:dyDescent="0.35">
      <c r="A79" s="91" t="s">
        <v>142</v>
      </c>
    </row>
    <row r="80" spans="1:1" s="8" customFormat="1" ht="15" customHeight="1" x14ac:dyDescent="0.35">
      <c r="A80" s="91" t="s">
        <v>136</v>
      </c>
    </row>
    <row r="81" spans="1:1" s="8" customFormat="1" ht="15" customHeight="1" x14ac:dyDescent="0.35">
      <c r="A81" s="91" t="s">
        <v>138</v>
      </c>
    </row>
    <row r="82" spans="1:1" s="8" customFormat="1" ht="15" customHeight="1" x14ac:dyDescent="0.35">
      <c r="A82" s="91" t="s">
        <v>130</v>
      </c>
    </row>
    <row r="83" spans="1:1" s="8" customFormat="1" ht="15" customHeight="1" x14ac:dyDescent="0.35">
      <c r="A83" s="91" t="s">
        <v>137</v>
      </c>
    </row>
    <row r="84" spans="1:1" s="8" customFormat="1" ht="15" customHeight="1" x14ac:dyDescent="0.35">
      <c r="A84" s="91"/>
    </row>
    <row r="85" spans="1:1" s="8" customFormat="1" ht="15" customHeight="1" x14ac:dyDescent="0.35">
      <c r="A85" s="91" t="s">
        <v>29</v>
      </c>
    </row>
    <row r="86" spans="1:1" s="8" customFormat="1" ht="15" customHeight="1" x14ac:dyDescent="0.35">
      <c r="A86" s="91" t="s">
        <v>139</v>
      </c>
    </row>
    <row r="87" spans="1:1" s="8" customFormat="1" ht="15" customHeight="1" x14ac:dyDescent="0.35">
      <c r="A87" s="91" t="s">
        <v>89</v>
      </c>
    </row>
    <row r="88" spans="1:1" s="8" customFormat="1" ht="15" customHeight="1" x14ac:dyDescent="0.35">
      <c r="A88" s="91" t="s">
        <v>144</v>
      </c>
    </row>
    <row r="89" spans="1:1" s="8" customFormat="1" ht="15" customHeight="1" x14ac:dyDescent="0.35">
      <c r="A89" s="91"/>
    </row>
    <row r="90" spans="1:1" s="8" customFormat="1" ht="15" customHeight="1" x14ac:dyDescent="0.35">
      <c r="A90" s="91" t="s">
        <v>30</v>
      </c>
    </row>
    <row r="91" spans="1:1" s="8" customFormat="1" ht="15" customHeight="1" x14ac:dyDescent="0.35">
      <c r="A91" s="91" t="s">
        <v>83</v>
      </c>
    </row>
    <row r="92" spans="1:1" s="8" customFormat="1" ht="15" customHeight="1" x14ac:dyDescent="0.35">
      <c r="A92" s="91" t="s">
        <v>84</v>
      </c>
    </row>
    <row r="93" spans="1:1" s="8" customFormat="1" ht="15" customHeight="1" x14ac:dyDescent="0.35">
      <c r="A93" s="91" t="s">
        <v>90</v>
      </c>
    </row>
    <row r="94" spans="1:1" s="8" customFormat="1" ht="15" customHeight="1" x14ac:dyDescent="0.35">
      <c r="A94" s="91"/>
    </row>
    <row r="95" spans="1:1" s="8" customFormat="1" ht="15" customHeight="1" x14ac:dyDescent="0.35">
      <c r="A95" s="73"/>
    </row>
    <row r="96" spans="1:1" s="8" customFormat="1" ht="15" customHeight="1" x14ac:dyDescent="0.35">
      <c r="A96" s="91" t="s">
        <v>132</v>
      </c>
    </row>
    <row r="97" spans="1:1" s="8" customFormat="1" ht="15" customHeight="1" x14ac:dyDescent="0.35">
      <c r="A97" s="93" t="s">
        <v>131</v>
      </c>
    </row>
    <row r="98" spans="1:1" s="8" customFormat="1" ht="15" customHeight="1" x14ac:dyDescent="0.35">
      <c r="A98" s="93" t="s">
        <v>133</v>
      </c>
    </row>
    <row r="99" spans="1:1" s="8" customFormat="1" ht="15" customHeight="1" x14ac:dyDescent="0.35">
      <c r="A99" s="93" t="s">
        <v>143</v>
      </c>
    </row>
    <row r="100" spans="1:1" s="8" customFormat="1" ht="15" customHeight="1" x14ac:dyDescent="0.35">
      <c r="A100" s="93" t="s">
        <v>134</v>
      </c>
    </row>
    <row r="101" spans="1:1" s="8" customFormat="1" ht="15" customHeight="1" x14ac:dyDescent="0.35">
      <c r="A101" s="93"/>
    </row>
    <row r="102" spans="1:1" s="8" customFormat="1" ht="15" customHeight="1" x14ac:dyDescent="0.35">
      <c r="A102" s="73"/>
    </row>
    <row r="103" spans="1:1" s="8" customFormat="1" ht="15" customHeight="1" x14ac:dyDescent="0.35">
      <c r="A103" s="73" t="s">
        <v>85</v>
      </c>
    </row>
    <row r="104" spans="1:1" s="8" customFormat="1" ht="55" customHeight="1" x14ac:dyDescent="0.35">
      <c r="A104" s="93" t="s">
        <v>153</v>
      </c>
    </row>
    <row r="105" spans="1:1" ht="15" customHeight="1" x14ac:dyDescent="0.35">
      <c r="A105" s="93"/>
    </row>
    <row r="106" spans="1:1" ht="15" customHeight="1" x14ac:dyDescent="0.35">
      <c r="A106" s="8" t="s">
        <v>54</v>
      </c>
    </row>
    <row r="107" spans="1:1" ht="15" customHeight="1" x14ac:dyDescent="0.35">
      <c r="A107" s="5" t="s">
        <v>154</v>
      </c>
    </row>
    <row r="108" spans="1:1" ht="15" customHeight="1" x14ac:dyDescent="0.35">
      <c r="A108" s="74" t="s">
        <v>91</v>
      </c>
    </row>
    <row r="109" spans="1:1" ht="15" customHeight="1" x14ac:dyDescent="0.35">
      <c r="A109" s="74" t="s">
        <v>92</v>
      </c>
    </row>
    <row r="110" spans="1:1" ht="15" customHeight="1" x14ac:dyDescent="0.35">
      <c r="A110" s="74" t="s">
        <v>66</v>
      </c>
    </row>
    <row r="111" spans="1:1" ht="15" customHeight="1" x14ac:dyDescent="0.35">
      <c r="A111" s="74" t="s">
        <v>93</v>
      </c>
    </row>
    <row r="112" spans="1:1" ht="15" customHeight="1" x14ac:dyDescent="0.35">
      <c r="A112" s="74" t="s">
        <v>94</v>
      </c>
    </row>
    <row r="113" spans="1:1" ht="15" customHeight="1" x14ac:dyDescent="0.35">
      <c r="A113" s="5" t="s">
        <v>155</v>
      </c>
    </row>
    <row r="114" spans="1:1" ht="15" customHeight="1" x14ac:dyDescent="0.35">
      <c r="A114" s="74" t="s">
        <v>62</v>
      </c>
    </row>
    <row r="115" spans="1:1" ht="15" customHeight="1" x14ac:dyDescent="0.35">
      <c r="A115" s="74" t="s">
        <v>63</v>
      </c>
    </row>
    <row r="116" spans="1:1" ht="15" customHeight="1" x14ac:dyDescent="0.35">
      <c r="A116" s="74" t="s">
        <v>86</v>
      </c>
    </row>
    <row r="117" spans="1:1" ht="15" customHeight="1" x14ac:dyDescent="0.35">
      <c r="A117" s="74" t="s">
        <v>96</v>
      </c>
    </row>
    <row r="118" spans="1:1" ht="15" customHeight="1" x14ac:dyDescent="0.35">
      <c r="A118" s="74" t="s">
        <v>107</v>
      </c>
    </row>
    <row r="119" spans="1:1" ht="15" customHeight="1" x14ac:dyDescent="0.35">
      <c r="A119" s="74" t="s">
        <v>64</v>
      </c>
    </row>
    <row r="120" spans="1:1" ht="15" customHeight="1" x14ac:dyDescent="0.35">
      <c r="A120" s="74" t="s">
        <v>67</v>
      </c>
    </row>
    <row r="121" spans="1:1" ht="15" customHeight="1" x14ac:dyDescent="0.35">
      <c r="A121" s="92" t="s">
        <v>156</v>
      </c>
    </row>
    <row r="122" spans="1:1" ht="15" customHeight="1" x14ac:dyDescent="0.35">
      <c r="A122" s="74" t="s">
        <v>65</v>
      </c>
    </row>
    <row r="123" spans="1:1" ht="15" customHeight="1" x14ac:dyDescent="0.35">
      <c r="A123" s="74" t="s">
        <v>68</v>
      </c>
    </row>
    <row r="124" spans="1:1" ht="15" customHeight="1" x14ac:dyDescent="0.35">
      <c r="A124" s="74" t="s">
        <v>69</v>
      </c>
    </row>
    <row r="125" spans="1:1" ht="15" customHeight="1" x14ac:dyDescent="0.35">
      <c r="A125" s="74" t="s">
        <v>70</v>
      </c>
    </row>
    <row r="126" spans="1:1" ht="15" customHeight="1" x14ac:dyDescent="0.35">
      <c r="A126" s="92" t="s">
        <v>157</v>
      </c>
    </row>
    <row r="127" spans="1:1" ht="15" customHeight="1" x14ac:dyDescent="0.35">
      <c r="A127" s="74" t="s">
        <v>135</v>
      </c>
    </row>
    <row r="128" spans="1:1" ht="15" customHeight="1" x14ac:dyDescent="0.35">
      <c r="A128" s="74" t="s">
        <v>71</v>
      </c>
    </row>
    <row r="129" spans="1:1" ht="15" customHeight="1" x14ac:dyDescent="0.35">
      <c r="A129" s="74" t="s">
        <v>97</v>
      </c>
    </row>
    <row r="130" spans="1:1" ht="15" customHeight="1" x14ac:dyDescent="0.35">
      <c r="A130" s="74" t="s">
        <v>98</v>
      </c>
    </row>
    <row r="135" spans="1:1" ht="15" customHeight="1" x14ac:dyDescent="0.35">
      <c r="A135" s="74"/>
    </row>
    <row r="136" spans="1:1" ht="15" customHeight="1" x14ac:dyDescent="0.35">
      <c r="A136" s="74"/>
    </row>
    <row r="138" spans="1:1" ht="15" customHeight="1" x14ac:dyDescent="0.35">
      <c r="A138" s="74"/>
    </row>
    <row r="139" spans="1:1" ht="15" customHeight="1" x14ac:dyDescent="0.35">
      <c r="A139" s="74"/>
    </row>
    <row r="140" spans="1:1" ht="15" customHeight="1" x14ac:dyDescent="0.35">
      <c r="A140" s="74"/>
    </row>
    <row r="141" spans="1:1" ht="15" customHeight="1" x14ac:dyDescent="0.35">
      <c r="A141" s="74"/>
    </row>
    <row r="142" spans="1:1" ht="15" customHeight="1" x14ac:dyDescent="0.35">
      <c r="A142" s="74"/>
    </row>
    <row r="143" spans="1:1" ht="15" customHeight="1" x14ac:dyDescent="0.35">
      <c r="A143" s="74"/>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6"/>
  <sheetViews>
    <sheetView showGridLines="0" topLeftCell="A21" zoomScale="70" zoomScaleNormal="70" workbookViewId="0">
      <selection activeCell="D37" sqref="D37"/>
    </sheetView>
  </sheetViews>
  <sheetFormatPr defaultRowHeight="15" customHeight="1" x14ac:dyDescent="0.35"/>
  <cols>
    <col min="1" max="1" width="1" customWidth="1"/>
    <col min="2" max="2" width="34.453125" customWidth="1"/>
    <col min="3" max="9" width="25.7265625" style="18" customWidth="1"/>
  </cols>
  <sheetData>
    <row r="1" spans="2:7" ht="7" customHeight="1" x14ac:dyDescent="0.35"/>
    <row r="2" spans="2:7" ht="15" customHeight="1" x14ac:dyDescent="0.35">
      <c r="B2" s="9" t="s">
        <v>0</v>
      </c>
      <c r="C2" s="45">
        <f>'Inputs and assumptions'!C3</f>
        <v>1200</v>
      </c>
    </row>
    <row r="3" spans="2:7" ht="15" customHeight="1" x14ac:dyDescent="0.35">
      <c r="B3" s="9" t="s">
        <v>1</v>
      </c>
      <c r="C3" s="46">
        <f>'Inputs and assumptions'!C4</f>
        <v>0.3</v>
      </c>
    </row>
    <row r="4" spans="2:7" ht="15" customHeight="1" x14ac:dyDescent="0.35">
      <c r="B4" s="9" t="s">
        <v>2</v>
      </c>
      <c r="C4" s="22">
        <f>C2/C3</f>
        <v>4000</v>
      </c>
    </row>
    <row r="5" spans="2:7" ht="15" customHeight="1" x14ac:dyDescent="0.35">
      <c r="B5" s="9" t="s">
        <v>4</v>
      </c>
      <c r="C5" s="45">
        <f>'Inputs and assumptions'!C6</f>
        <v>5</v>
      </c>
    </row>
    <row r="6" spans="2:7" ht="15" customHeight="1" x14ac:dyDescent="0.35">
      <c r="B6" s="9" t="s">
        <v>19</v>
      </c>
      <c r="C6" s="46">
        <f>'Inputs and assumptions'!C7</f>
        <v>0.4</v>
      </c>
    </row>
    <row r="7" spans="2:7" ht="15" customHeight="1" x14ac:dyDescent="0.35">
      <c r="B7" s="9" t="s">
        <v>5</v>
      </c>
      <c r="C7" s="45">
        <f>'Inputs and assumptions'!C8</f>
        <v>10</v>
      </c>
    </row>
    <row r="8" spans="2:7" ht="15" customHeight="1" x14ac:dyDescent="0.35">
      <c r="B8" s="9" t="s">
        <v>20</v>
      </c>
      <c r="C8" s="33">
        <f>'Inputs and assumptions'!C13</f>
        <v>0.15</v>
      </c>
    </row>
    <row r="10" spans="2:7" ht="15" customHeight="1" x14ac:dyDescent="0.35">
      <c r="B10" s="30" t="s">
        <v>15</v>
      </c>
      <c r="C10" s="85" t="s">
        <v>24</v>
      </c>
      <c r="D10" s="85"/>
      <c r="E10" s="85"/>
      <c r="F10" s="85"/>
      <c r="G10" s="85"/>
    </row>
    <row r="11" spans="2:7" ht="15" customHeight="1" x14ac:dyDescent="0.35">
      <c r="B11" s="28" t="s">
        <v>6</v>
      </c>
      <c r="C11" s="44" t="s">
        <v>23</v>
      </c>
      <c r="D11" s="44" t="s">
        <v>55</v>
      </c>
      <c r="E11" s="44" t="s">
        <v>21</v>
      </c>
      <c r="F11" s="44" t="s">
        <v>26</v>
      </c>
      <c r="G11" s="44" t="s">
        <v>22</v>
      </c>
    </row>
    <row r="12" spans="2:7" ht="15" customHeight="1" x14ac:dyDescent="0.35">
      <c r="B12" s="29">
        <v>0</v>
      </c>
      <c r="C12" s="47">
        <f t="shared" ref="C12:C22" si="0">$C$4*(1+$C$8)^B12</f>
        <v>4000</v>
      </c>
      <c r="D12" s="36">
        <f>IF(B12=0,-$C$2,0)</f>
        <v>-1200</v>
      </c>
      <c r="E12" s="36">
        <v>0</v>
      </c>
      <c r="F12" s="36">
        <f>IF(B12=0,0,IF(B12=$C$5,C12*$C$3*$C$6,IF(B12=$C$7,C12*$C$3*(1-$C$6),0)))</f>
        <v>0</v>
      </c>
      <c r="G12" s="37">
        <f>SUM(D12:F12)</f>
        <v>-1200</v>
      </c>
    </row>
    <row r="13" spans="2:7" ht="15" customHeight="1" x14ac:dyDescent="0.35">
      <c r="B13" s="29">
        <f>B12+1</f>
        <v>1</v>
      </c>
      <c r="C13" s="47">
        <f t="shared" si="0"/>
        <v>4600</v>
      </c>
      <c r="D13" s="36">
        <f t="shared" ref="D13:D22" si="1">IF(B13=0,-$C$2,0)</f>
        <v>0</v>
      </c>
      <c r="E13" s="36">
        <v>0</v>
      </c>
      <c r="F13" s="36">
        <f t="shared" ref="F13:F22" si="2">IF(B13=0,0,IF(B13=$C$5,C13*$C$3*$C$6,IF(B13=$C$7,C13*$C$3*(1-$C$6),0)))</f>
        <v>0</v>
      </c>
      <c r="G13" s="37">
        <f t="shared" ref="G13:G22" si="3">SUM(D13:F13)</f>
        <v>0</v>
      </c>
    </row>
    <row r="14" spans="2:7" ht="15" customHeight="1" x14ac:dyDescent="0.35">
      <c r="B14" s="29">
        <f t="shared" ref="B14:B22" si="4">B13+1</f>
        <v>2</v>
      </c>
      <c r="C14" s="47">
        <f t="shared" si="0"/>
        <v>5289.9999999999991</v>
      </c>
      <c r="D14" s="36">
        <f t="shared" si="1"/>
        <v>0</v>
      </c>
      <c r="E14" s="36">
        <v>0</v>
      </c>
      <c r="F14" s="36">
        <f t="shared" si="2"/>
        <v>0</v>
      </c>
      <c r="G14" s="37">
        <f t="shared" si="3"/>
        <v>0</v>
      </c>
    </row>
    <row r="15" spans="2:7" ht="15" customHeight="1" x14ac:dyDescent="0.35">
      <c r="B15" s="29">
        <f t="shared" si="4"/>
        <v>3</v>
      </c>
      <c r="C15" s="47">
        <f t="shared" si="0"/>
        <v>6083.4999999999982</v>
      </c>
      <c r="D15" s="36">
        <f t="shared" si="1"/>
        <v>0</v>
      </c>
      <c r="E15" s="36">
        <v>0</v>
      </c>
      <c r="F15" s="36">
        <f t="shared" si="2"/>
        <v>0</v>
      </c>
      <c r="G15" s="37">
        <f t="shared" si="3"/>
        <v>0</v>
      </c>
    </row>
    <row r="16" spans="2:7" ht="15" customHeight="1" x14ac:dyDescent="0.35">
      <c r="B16" s="29">
        <f t="shared" si="4"/>
        <v>4</v>
      </c>
      <c r="C16" s="47">
        <f t="shared" si="0"/>
        <v>6996.0249999999978</v>
      </c>
      <c r="D16" s="36">
        <f t="shared" si="1"/>
        <v>0</v>
      </c>
      <c r="E16" s="36">
        <v>0</v>
      </c>
      <c r="F16" s="36">
        <f t="shared" si="2"/>
        <v>0</v>
      </c>
      <c r="G16" s="37">
        <f t="shared" si="3"/>
        <v>0</v>
      </c>
    </row>
    <row r="17" spans="2:7" ht="15" customHeight="1" x14ac:dyDescent="0.35">
      <c r="B17" s="29">
        <f t="shared" si="4"/>
        <v>5</v>
      </c>
      <c r="C17" s="47">
        <f t="shared" si="0"/>
        <v>8045.4287499999973</v>
      </c>
      <c r="D17" s="36">
        <f t="shared" si="1"/>
        <v>0</v>
      </c>
      <c r="E17" s="36">
        <v>0</v>
      </c>
      <c r="F17" s="36">
        <f t="shared" si="2"/>
        <v>965.45144999999957</v>
      </c>
      <c r="G17" s="37">
        <f t="shared" si="3"/>
        <v>965.45144999999957</v>
      </c>
    </row>
    <row r="18" spans="2:7" ht="15" customHeight="1" x14ac:dyDescent="0.35">
      <c r="B18" s="29">
        <f t="shared" si="4"/>
        <v>6</v>
      </c>
      <c r="C18" s="47">
        <f t="shared" si="0"/>
        <v>9252.2430624999961</v>
      </c>
      <c r="D18" s="36">
        <f t="shared" si="1"/>
        <v>0</v>
      </c>
      <c r="E18" s="36">
        <v>0</v>
      </c>
      <c r="F18" s="36">
        <f t="shared" si="2"/>
        <v>0</v>
      </c>
      <c r="G18" s="37">
        <f t="shared" si="3"/>
        <v>0</v>
      </c>
    </row>
    <row r="19" spans="2:7" ht="15" customHeight="1" x14ac:dyDescent="0.35">
      <c r="B19" s="29">
        <f t="shared" si="4"/>
        <v>7</v>
      </c>
      <c r="C19" s="47">
        <f t="shared" si="0"/>
        <v>10640.079521874994</v>
      </c>
      <c r="D19" s="36">
        <f t="shared" si="1"/>
        <v>0</v>
      </c>
      <c r="E19" s="36">
        <v>0</v>
      </c>
      <c r="F19" s="36">
        <f t="shared" si="2"/>
        <v>0</v>
      </c>
      <c r="G19" s="37">
        <f t="shared" si="3"/>
        <v>0</v>
      </c>
    </row>
    <row r="20" spans="2:7" ht="15" customHeight="1" x14ac:dyDescent="0.35">
      <c r="B20" s="29">
        <f t="shared" si="4"/>
        <v>8</v>
      </c>
      <c r="C20" s="47">
        <f t="shared" si="0"/>
        <v>12236.091450156242</v>
      </c>
      <c r="D20" s="36">
        <f t="shared" si="1"/>
        <v>0</v>
      </c>
      <c r="E20" s="36">
        <v>0</v>
      </c>
      <c r="F20" s="36">
        <f t="shared" si="2"/>
        <v>0</v>
      </c>
      <c r="G20" s="37">
        <f t="shared" si="3"/>
        <v>0</v>
      </c>
    </row>
    <row r="21" spans="2:7" ht="15" customHeight="1" x14ac:dyDescent="0.35">
      <c r="B21" s="29">
        <f t="shared" si="4"/>
        <v>9</v>
      </c>
      <c r="C21" s="47">
        <f t="shared" si="0"/>
        <v>14071.505167679676</v>
      </c>
      <c r="D21" s="36">
        <f t="shared" si="1"/>
        <v>0</v>
      </c>
      <c r="E21" s="36">
        <v>0</v>
      </c>
      <c r="F21" s="36">
        <f t="shared" si="2"/>
        <v>0</v>
      </c>
      <c r="G21" s="37">
        <f t="shared" si="3"/>
        <v>0</v>
      </c>
    </row>
    <row r="22" spans="2:7" ht="15" customHeight="1" x14ac:dyDescent="0.35">
      <c r="B22" s="29">
        <f t="shared" si="4"/>
        <v>10</v>
      </c>
      <c r="C22" s="47">
        <f t="shared" si="0"/>
        <v>16182.230942831628</v>
      </c>
      <c r="D22" s="36">
        <f t="shared" si="1"/>
        <v>0</v>
      </c>
      <c r="E22" s="36">
        <v>0</v>
      </c>
      <c r="F22" s="36">
        <f t="shared" si="2"/>
        <v>2912.8015697096926</v>
      </c>
      <c r="G22" s="37">
        <f t="shared" si="3"/>
        <v>2912.8015697096926</v>
      </c>
    </row>
    <row r="24" spans="2:7" ht="15" customHeight="1" x14ac:dyDescent="0.35">
      <c r="B24" s="15" t="s">
        <v>16</v>
      </c>
    </row>
    <row r="25" spans="2:7" ht="15" customHeight="1" x14ac:dyDescent="0.35">
      <c r="B25" s="9" t="s">
        <v>7</v>
      </c>
      <c r="C25" s="49">
        <f>IRR(G12:G22)</f>
        <v>0.14999999999999991</v>
      </c>
      <c r="D25" s="50"/>
    </row>
    <row r="26" spans="2:7" ht="15" customHeight="1" x14ac:dyDescent="0.35">
      <c r="B26" s="9" t="s">
        <v>10</v>
      </c>
      <c r="C26" s="41">
        <f>SUM(E12:F22)/ABS(SUM(D12:D22))</f>
        <v>3.2318775164247433</v>
      </c>
    </row>
  </sheetData>
  <mergeCells count="1">
    <mergeCell ref="C10:G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60544-1CD8-4CA2-B1E4-8674B4D85D89}">
  <dimension ref="B1:G26"/>
  <sheetViews>
    <sheetView showGridLines="0" zoomScale="70" zoomScaleNormal="70" workbookViewId="0">
      <selection activeCell="C8" sqref="C8"/>
    </sheetView>
  </sheetViews>
  <sheetFormatPr defaultRowHeight="15" customHeight="1" x14ac:dyDescent="0.35"/>
  <cols>
    <col min="1" max="1" width="1" style="18" customWidth="1"/>
    <col min="2" max="2" width="34.453125" customWidth="1"/>
    <col min="3" max="9" width="25.7265625" style="18" customWidth="1"/>
    <col min="10" max="16384" width="8.7265625" style="18"/>
  </cols>
  <sheetData>
    <row r="1" spans="2:7" ht="7" customHeight="1" x14ac:dyDescent="0.35"/>
    <row r="2" spans="2:7" ht="15" customHeight="1" x14ac:dyDescent="0.35">
      <c r="B2" s="9" t="s">
        <v>0</v>
      </c>
      <c r="C2" s="45">
        <f>'Inputs and assumptions'!D3</f>
        <v>1575</v>
      </c>
      <c r="E2" s="9" t="s">
        <v>58</v>
      </c>
      <c r="F2" s="33">
        <f>'Inputs and assumptions'!D14</f>
        <v>0.09</v>
      </c>
    </row>
    <row r="3" spans="2:7" ht="15" customHeight="1" x14ac:dyDescent="0.35">
      <c r="B3" s="9" t="s">
        <v>1</v>
      </c>
      <c r="C3" s="46">
        <f>'Inputs and assumptions'!D4</f>
        <v>0.45</v>
      </c>
      <c r="E3" s="9" t="s">
        <v>57</v>
      </c>
      <c r="F3" s="62">
        <f>C4</f>
        <v>3500</v>
      </c>
    </row>
    <row r="4" spans="2:7" ht="15" customHeight="1" x14ac:dyDescent="0.35">
      <c r="B4" s="9" t="s">
        <v>2</v>
      </c>
      <c r="C4" s="22">
        <f>C2/C3</f>
        <v>3500</v>
      </c>
    </row>
    <row r="5" spans="2:7" ht="15" customHeight="1" x14ac:dyDescent="0.35">
      <c r="B5" s="9" t="s">
        <v>4</v>
      </c>
      <c r="C5" s="45" t="str">
        <f>'Inputs and assumptions'!D6</f>
        <v>n/a</v>
      </c>
    </row>
    <row r="6" spans="2:7" ht="15" customHeight="1" x14ac:dyDescent="0.35">
      <c r="B6" s="9" t="s">
        <v>19</v>
      </c>
      <c r="C6" s="45">
        <f>'Inputs and assumptions'!D7</f>
        <v>0</v>
      </c>
    </row>
    <row r="7" spans="2:7" ht="15" customHeight="1" x14ac:dyDescent="0.35">
      <c r="B7" s="9" t="s">
        <v>5</v>
      </c>
      <c r="C7" s="45">
        <f>'Inputs and assumptions'!D8</f>
        <v>10</v>
      </c>
    </row>
    <row r="8" spans="2:7" ht="15" customHeight="1" x14ac:dyDescent="0.35">
      <c r="B8" s="9" t="s">
        <v>20</v>
      </c>
      <c r="C8" s="46">
        <f>'Inputs and assumptions'!D13</f>
        <v>0.1</v>
      </c>
    </row>
    <row r="10" spans="2:7" ht="15" customHeight="1" x14ac:dyDescent="0.35">
      <c r="B10" s="30" t="s">
        <v>15</v>
      </c>
      <c r="C10" s="85" t="s">
        <v>24</v>
      </c>
      <c r="D10" s="85"/>
      <c r="E10" s="85"/>
      <c r="F10" s="85"/>
      <c r="G10" s="85"/>
    </row>
    <row r="11" spans="2:7" ht="15" customHeight="1" x14ac:dyDescent="0.35">
      <c r="B11" s="28" t="s">
        <v>6</v>
      </c>
      <c r="C11" s="44" t="s">
        <v>23</v>
      </c>
      <c r="D11" s="44" t="s">
        <v>55</v>
      </c>
      <c r="E11" s="44" t="s">
        <v>21</v>
      </c>
      <c r="F11" s="44" t="s">
        <v>26</v>
      </c>
      <c r="G11" s="44" t="s">
        <v>22</v>
      </c>
    </row>
    <row r="12" spans="2:7" ht="15" customHeight="1" x14ac:dyDescent="0.35">
      <c r="B12" s="29">
        <v>0</v>
      </c>
      <c r="C12" s="47">
        <f t="shared" ref="C12:C22" si="0">$C$4*(1+$C$8)^B12</f>
        <v>3500</v>
      </c>
      <c r="D12" s="36">
        <f>IF(B12=0,-$C$2,0)</f>
        <v>-1575</v>
      </c>
      <c r="E12" s="36">
        <f t="shared" ref="E12:E22" si="1">IF(B12&gt;0,$F$2*$C$3*$F$3,0)</f>
        <v>0</v>
      </c>
      <c r="F12" s="36">
        <f>IF(B12=0,0,IF(B12=$C$5,C12*$C$3*$C$6,IF(B12=$C$7,C12*$C$3*(1-$C$6),0)))</f>
        <v>0</v>
      </c>
      <c r="G12" s="37">
        <f>SUM(D12:F12)</f>
        <v>-1575</v>
      </c>
    </row>
    <row r="13" spans="2:7" ht="15" customHeight="1" x14ac:dyDescent="0.35">
      <c r="B13" s="29">
        <f t="shared" ref="B13:B22" si="2">B12+1</f>
        <v>1</v>
      </c>
      <c r="C13" s="47">
        <f t="shared" si="0"/>
        <v>3850.0000000000005</v>
      </c>
      <c r="D13" s="36">
        <f t="shared" ref="D13:D22" si="3">IF(B13=0,-$C$2,0)</f>
        <v>0</v>
      </c>
      <c r="E13" s="36">
        <f t="shared" si="1"/>
        <v>141.75</v>
      </c>
      <c r="F13" s="36">
        <f t="shared" ref="F13:F22" si="4">IF(B13=0,0,IF(B13=$C$5,C13*$C$3*$C$6,IF(B13=$C$7,C13*$C$3*(1-$C$6),0)))</f>
        <v>0</v>
      </c>
      <c r="G13" s="37">
        <f t="shared" ref="G13:G22" si="5">SUM(D13:F13)</f>
        <v>141.75</v>
      </c>
    </row>
    <row r="14" spans="2:7" ht="15" customHeight="1" x14ac:dyDescent="0.35">
      <c r="B14" s="29">
        <f t="shared" si="2"/>
        <v>2</v>
      </c>
      <c r="C14" s="47">
        <f t="shared" si="0"/>
        <v>4235.0000000000009</v>
      </c>
      <c r="D14" s="36">
        <f t="shared" si="3"/>
        <v>0</v>
      </c>
      <c r="E14" s="36">
        <f t="shared" si="1"/>
        <v>141.75</v>
      </c>
      <c r="F14" s="36">
        <f t="shared" si="4"/>
        <v>0</v>
      </c>
      <c r="G14" s="37">
        <f t="shared" si="5"/>
        <v>141.75</v>
      </c>
    </row>
    <row r="15" spans="2:7" ht="15" customHeight="1" x14ac:dyDescent="0.35">
      <c r="B15" s="29">
        <f t="shared" si="2"/>
        <v>3</v>
      </c>
      <c r="C15" s="47">
        <f t="shared" si="0"/>
        <v>4658.5000000000018</v>
      </c>
      <c r="D15" s="36">
        <f t="shared" si="3"/>
        <v>0</v>
      </c>
      <c r="E15" s="36">
        <f t="shared" si="1"/>
        <v>141.75</v>
      </c>
      <c r="F15" s="36">
        <f t="shared" si="4"/>
        <v>0</v>
      </c>
      <c r="G15" s="37">
        <f t="shared" si="5"/>
        <v>141.75</v>
      </c>
    </row>
    <row r="16" spans="2:7" ht="15" customHeight="1" x14ac:dyDescent="0.35">
      <c r="B16" s="29">
        <f t="shared" si="2"/>
        <v>4</v>
      </c>
      <c r="C16" s="47">
        <f t="shared" si="0"/>
        <v>5124.3500000000013</v>
      </c>
      <c r="D16" s="36">
        <f t="shared" si="3"/>
        <v>0</v>
      </c>
      <c r="E16" s="36">
        <f t="shared" si="1"/>
        <v>141.75</v>
      </c>
      <c r="F16" s="36">
        <f t="shared" si="4"/>
        <v>0</v>
      </c>
      <c r="G16" s="37">
        <f t="shared" si="5"/>
        <v>141.75</v>
      </c>
    </row>
    <row r="17" spans="2:7" ht="15" customHeight="1" x14ac:dyDescent="0.35">
      <c r="B17" s="29">
        <f t="shared" si="2"/>
        <v>5</v>
      </c>
      <c r="C17" s="47">
        <f t="shared" si="0"/>
        <v>5636.7850000000017</v>
      </c>
      <c r="D17" s="36">
        <f t="shared" si="3"/>
        <v>0</v>
      </c>
      <c r="E17" s="36">
        <f t="shared" si="1"/>
        <v>141.75</v>
      </c>
      <c r="F17" s="36">
        <f t="shared" si="4"/>
        <v>0</v>
      </c>
      <c r="G17" s="37">
        <f t="shared" si="5"/>
        <v>141.75</v>
      </c>
    </row>
    <row r="18" spans="2:7" ht="15" customHeight="1" x14ac:dyDescent="0.35">
      <c r="B18" s="29">
        <f t="shared" si="2"/>
        <v>6</v>
      </c>
      <c r="C18" s="47">
        <f t="shared" si="0"/>
        <v>6200.4635000000026</v>
      </c>
      <c r="D18" s="36">
        <f t="shared" si="3"/>
        <v>0</v>
      </c>
      <c r="E18" s="36">
        <f t="shared" si="1"/>
        <v>141.75</v>
      </c>
      <c r="F18" s="36">
        <f t="shared" si="4"/>
        <v>0</v>
      </c>
      <c r="G18" s="37">
        <f t="shared" si="5"/>
        <v>141.75</v>
      </c>
    </row>
    <row r="19" spans="2:7" ht="15" customHeight="1" x14ac:dyDescent="0.35">
      <c r="B19" s="29">
        <f t="shared" si="2"/>
        <v>7</v>
      </c>
      <c r="C19" s="47">
        <f t="shared" si="0"/>
        <v>6820.509850000004</v>
      </c>
      <c r="D19" s="36">
        <f t="shared" si="3"/>
        <v>0</v>
      </c>
      <c r="E19" s="36">
        <f t="shared" si="1"/>
        <v>141.75</v>
      </c>
      <c r="F19" s="36">
        <f t="shared" si="4"/>
        <v>0</v>
      </c>
      <c r="G19" s="37">
        <f t="shared" si="5"/>
        <v>141.75</v>
      </c>
    </row>
    <row r="20" spans="2:7" ht="15" customHeight="1" x14ac:dyDescent="0.35">
      <c r="B20" s="29">
        <f t="shared" si="2"/>
        <v>8</v>
      </c>
      <c r="C20" s="47">
        <f t="shared" si="0"/>
        <v>7502.5608350000039</v>
      </c>
      <c r="D20" s="36">
        <f t="shared" si="3"/>
        <v>0</v>
      </c>
      <c r="E20" s="36">
        <f t="shared" si="1"/>
        <v>141.75</v>
      </c>
      <c r="F20" s="36">
        <f t="shared" si="4"/>
        <v>0</v>
      </c>
      <c r="G20" s="37">
        <f t="shared" si="5"/>
        <v>141.75</v>
      </c>
    </row>
    <row r="21" spans="2:7" ht="15" customHeight="1" x14ac:dyDescent="0.35">
      <c r="B21" s="29">
        <f t="shared" si="2"/>
        <v>9</v>
      </c>
      <c r="C21" s="47">
        <f t="shared" si="0"/>
        <v>8252.8169185000042</v>
      </c>
      <c r="D21" s="36">
        <f t="shared" si="3"/>
        <v>0</v>
      </c>
      <c r="E21" s="36">
        <f t="shared" si="1"/>
        <v>141.75</v>
      </c>
      <c r="F21" s="36">
        <f t="shared" si="4"/>
        <v>0</v>
      </c>
      <c r="G21" s="37">
        <f t="shared" si="5"/>
        <v>141.75</v>
      </c>
    </row>
    <row r="22" spans="2:7" ht="15" customHeight="1" x14ac:dyDescent="0.35">
      <c r="B22" s="29">
        <f t="shared" si="2"/>
        <v>10</v>
      </c>
      <c r="C22" s="47">
        <f t="shared" si="0"/>
        <v>9078.0986103500072</v>
      </c>
      <c r="D22" s="36">
        <f t="shared" si="3"/>
        <v>0</v>
      </c>
      <c r="E22" s="36">
        <f t="shared" si="1"/>
        <v>141.75</v>
      </c>
      <c r="F22" s="36">
        <f t="shared" si="4"/>
        <v>4085.1443746575032</v>
      </c>
      <c r="G22" s="37">
        <f t="shared" si="5"/>
        <v>4226.8943746575032</v>
      </c>
    </row>
    <row r="24" spans="2:7" ht="15" customHeight="1" x14ac:dyDescent="0.35">
      <c r="B24" s="15" t="s">
        <v>16</v>
      </c>
    </row>
    <row r="25" spans="2:7" ht="15" customHeight="1" x14ac:dyDescent="0.35">
      <c r="B25" s="9" t="s">
        <v>7</v>
      </c>
      <c r="C25" s="49">
        <f>IRR(G12:G22)</f>
        <v>0.1634832891541762</v>
      </c>
    </row>
    <row r="26" spans="2:7" ht="15" customHeight="1" x14ac:dyDescent="0.35">
      <c r="B26" s="9" t="s">
        <v>10</v>
      </c>
      <c r="C26" s="41">
        <f>SUM(E12:F22)/ABS(SUM(D12:D22))</f>
        <v>3.4937424601000022</v>
      </c>
    </row>
  </sheetData>
  <mergeCells count="1">
    <mergeCell ref="C10:G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EA1A-11B6-4992-9403-B0552E069A88}">
  <dimension ref="B1:I26"/>
  <sheetViews>
    <sheetView showGridLines="0" zoomScale="70" zoomScaleNormal="70" workbookViewId="0"/>
  </sheetViews>
  <sheetFormatPr defaultRowHeight="15" customHeight="1" x14ac:dyDescent="0.35"/>
  <cols>
    <col min="1" max="1" width="1" customWidth="1"/>
    <col min="2" max="2" width="33.453125" customWidth="1"/>
    <col min="3" max="9" width="25.7265625" style="18" customWidth="1"/>
  </cols>
  <sheetData>
    <row r="1" spans="2:8" ht="7" customHeight="1" x14ac:dyDescent="0.35"/>
    <row r="2" spans="2:8" ht="25.5" customHeight="1" x14ac:dyDescent="0.35">
      <c r="B2" s="9" t="s">
        <v>0</v>
      </c>
      <c r="C2" s="31">
        <f>'Inputs and assumptions'!E3</f>
        <v>1200</v>
      </c>
      <c r="E2" s="10" t="s">
        <v>12</v>
      </c>
      <c r="F2" s="43">
        <f>'Inputs and assumptions'!E9</f>
        <v>2.5</v>
      </c>
    </row>
    <row r="3" spans="2:8" ht="15" customHeight="1" x14ac:dyDescent="0.35">
      <c r="B3" s="9" t="s">
        <v>1</v>
      </c>
      <c r="C3" s="32">
        <f>C2/(C4+C2)</f>
        <v>0.48</v>
      </c>
    </row>
    <row r="4" spans="2:8" ht="15" customHeight="1" x14ac:dyDescent="0.35">
      <c r="B4" s="10" t="s">
        <v>11</v>
      </c>
      <c r="C4" s="31">
        <f>'Inputs and assumptions'!E5</f>
        <v>1300</v>
      </c>
    </row>
    <row r="5" spans="2:8" ht="15" customHeight="1" x14ac:dyDescent="0.35">
      <c r="B5" s="9" t="s">
        <v>4</v>
      </c>
      <c r="C5" s="45" t="str">
        <f>'Inputs and assumptions'!E6</f>
        <v>n/a</v>
      </c>
    </row>
    <row r="6" spans="2:8" ht="15" customHeight="1" x14ac:dyDescent="0.35">
      <c r="B6" s="9" t="s">
        <v>19</v>
      </c>
      <c r="C6" s="46" t="str">
        <f>'Inputs and assumptions'!E7</f>
        <v>n/a</v>
      </c>
    </row>
    <row r="7" spans="2:8" ht="15" customHeight="1" x14ac:dyDescent="0.35">
      <c r="B7" s="9" t="s">
        <v>5</v>
      </c>
      <c r="C7" s="31">
        <f>'Inputs and assumptions'!E8</f>
        <v>10</v>
      </c>
    </row>
    <row r="8" spans="2:8" ht="15" customHeight="1" x14ac:dyDescent="0.35">
      <c r="B8" s="9" t="s">
        <v>20</v>
      </c>
      <c r="C8" s="46" t="str">
        <f>'Inputs and assumptions'!E13</f>
        <v>n/a</v>
      </c>
    </row>
    <row r="10" spans="2:8" ht="15" customHeight="1" x14ac:dyDescent="0.35">
      <c r="B10" s="4" t="s">
        <v>15</v>
      </c>
      <c r="C10" s="86" t="s">
        <v>24</v>
      </c>
      <c r="D10" s="87"/>
      <c r="E10" s="87"/>
      <c r="F10" s="87"/>
      <c r="G10" s="87"/>
      <c r="H10" s="87"/>
    </row>
    <row r="11" spans="2:8" ht="15" customHeight="1" x14ac:dyDescent="0.35">
      <c r="B11" s="16" t="s">
        <v>6</v>
      </c>
      <c r="C11" s="44" t="s">
        <v>32</v>
      </c>
      <c r="D11" s="44" t="s">
        <v>23</v>
      </c>
      <c r="E11" s="44" t="s">
        <v>55</v>
      </c>
      <c r="F11" s="44" t="s">
        <v>21</v>
      </c>
      <c r="G11" s="44" t="s">
        <v>26</v>
      </c>
      <c r="H11" s="44" t="s">
        <v>22</v>
      </c>
    </row>
    <row r="12" spans="2:8" ht="15" customHeight="1" x14ac:dyDescent="0.35">
      <c r="B12" s="10">
        <v>0</v>
      </c>
      <c r="C12" s="3"/>
      <c r="D12" s="3">
        <f>IF(B12=$C$7,$F$2*C12,0)</f>
        <v>0</v>
      </c>
      <c r="E12" s="36">
        <f>IF(B12=0,-'Option 3 - Start up'!$C$2,0)</f>
        <v>-1200</v>
      </c>
      <c r="F12" s="36">
        <v>0</v>
      </c>
      <c r="G12" s="36">
        <f>IF(B12='Option 3 - Start up'!$C$7,'Option 3 - Start up'!$C$3*'Option 3 - Start up'!D12,0)</f>
        <v>0</v>
      </c>
      <c r="H12" s="36">
        <f>SUM(E12:G12)</f>
        <v>-1200</v>
      </c>
    </row>
    <row r="13" spans="2:8" ht="15" customHeight="1" x14ac:dyDescent="0.35">
      <c r="B13" s="10">
        <v>1</v>
      </c>
      <c r="C13" s="3">
        <f>'Inputs and assumptions'!C19</f>
        <v>700</v>
      </c>
      <c r="D13" s="3">
        <f t="shared" ref="D13:D22" si="0">IF(B13=$C$7,$F$2*C13,0)</f>
        <v>0</v>
      </c>
      <c r="E13" s="36">
        <f>IF(B13=0,-'Option 3 - Start up'!$C$2,0)</f>
        <v>0</v>
      </c>
      <c r="F13" s="36">
        <v>0</v>
      </c>
      <c r="G13" s="36">
        <f>IF(B13='Option 3 - Start up'!$C$7,'Option 3 - Start up'!$C$3*'Option 3 - Start up'!D13,0)</f>
        <v>0</v>
      </c>
      <c r="H13" s="36">
        <f t="shared" ref="H13:H22" si="1">SUM(E13:G13)</f>
        <v>0</v>
      </c>
    </row>
    <row r="14" spans="2:8" ht="15" customHeight="1" x14ac:dyDescent="0.35">
      <c r="B14" s="10">
        <v>2</v>
      </c>
      <c r="C14" s="3">
        <f>'Inputs and assumptions'!C20</f>
        <v>952</v>
      </c>
      <c r="D14" s="3">
        <f t="shared" si="0"/>
        <v>0</v>
      </c>
      <c r="E14" s="36">
        <f>IF(B14=0,-'Option 3 - Start up'!$C$2,0)</f>
        <v>0</v>
      </c>
      <c r="F14" s="36">
        <v>0</v>
      </c>
      <c r="G14" s="36">
        <f>IF(B14='Option 3 - Start up'!$C$7,'Option 3 - Start up'!$C$3*'Option 3 - Start up'!D14,0)</f>
        <v>0</v>
      </c>
      <c r="H14" s="36">
        <f t="shared" si="1"/>
        <v>0</v>
      </c>
    </row>
    <row r="15" spans="2:8" ht="15" customHeight="1" x14ac:dyDescent="0.35">
      <c r="B15" s="10">
        <v>3</v>
      </c>
      <c r="C15" s="3">
        <f>'Inputs and assumptions'!C21</f>
        <v>1238</v>
      </c>
      <c r="D15" s="3">
        <f t="shared" si="0"/>
        <v>0</v>
      </c>
      <c r="E15" s="36">
        <f>IF(B15=0,-'Option 3 - Start up'!$C$2,0)</f>
        <v>0</v>
      </c>
      <c r="F15" s="36">
        <v>0</v>
      </c>
      <c r="G15" s="36">
        <f>IF(B15='Option 3 - Start up'!$C$7,'Option 3 - Start up'!$C$3*'Option 3 - Start up'!D15,0)</f>
        <v>0</v>
      </c>
      <c r="H15" s="36">
        <f t="shared" si="1"/>
        <v>0</v>
      </c>
    </row>
    <row r="16" spans="2:8" ht="15" customHeight="1" x14ac:dyDescent="0.35">
      <c r="B16" s="10">
        <v>4</v>
      </c>
      <c r="C16" s="3">
        <f>'Inputs and assumptions'!C22</f>
        <v>1572</v>
      </c>
      <c r="D16" s="3">
        <f t="shared" si="0"/>
        <v>0</v>
      </c>
      <c r="E16" s="36">
        <f>IF(B16=0,-'Option 3 - Start up'!$C$2,0)</f>
        <v>0</v>
      </c>
      <c r="F16" s="36">
        <v>0</v>
      </c>
      <c r="G16" s="36">
        <f>IF(B16='Option 3 - Start up'!$C$7,'Option 3 - Start up'!$C$3*'Option 3 - Start up'!D16,0)</f>
        <v>0</v>
      </c>
      <c r="H16" s="36">
        <f t="shared" si="1"/>
        <v>0</v>
      </c>
    </row>
    <row r="17" spans="2:8" ht="15" customHeight="1" x14ac:dyDescent="0.35">
      <c r="B17" s="10">
        <v>5</v>
      </c>
      <c r="C17" s="3">
        <f>'Inputs and assumptions'!C23</f>
        <v>1949</v>
      </c>
      <c r="D17" s="3">
        <f t="shared" si="0"/>
        <v>0</v>
      </c>
      <c r="E17" s="36">
        <f>IF(B17=0,-'Option 3 - Start up'!$C$2,0)</f>
        <v>0</v>
      </c>
      <c r="F17" s="36">
        <v>0</v>
      </c>
      <c r="G17" s="36">
        <f>IF(B17='Option 3 - Start up'!$C$7,'Option 3 - Start up'!$C$3*'Option 3 - Start up'!D17,0)</f>
        <v>0</v>
      </c>
      <c r="H17" s="36">
        <f t="shared" si="1"/>
        <v>0</v>
      </c>
    </row>
    <row r="18" spans="2:8" ht="15" customHeight="1" x14ac:dyDescent="0.35">
      <c r="B18" s="10">
        <v>6</v>
      </c>
      <c r="C18" s="3">
        <f>'Inputs and assumptions'!C24</f>
        <v>2378</v>
      </c>
      <c r="D18" s="3">
        <f t="shared" si="0"/>
        <v>0</v>
      </c>
      <c r="E18" s="36">
        <f>IF(B18=0,-'Option 3 - Start up'!$C$2,0)</f>
        <v>0</v>
      </c>
      <c r="F18" s="36">
        <v>0</v>
      </c>
      <c r="G18" s="36">
        <f>IF(B18='Option 3 - Start up'!$C$7,'Option 3 - Start up'!$C$3*'Option 3 - Start up'!D18,0)</f>
        <v>0</v>
      </c>
      <c r="H18" s="36">
        <f t="shared" si="1"/>
        <v>0</v>
      </c>
    </row>
    <row r="19" spans="2:8" ht="15" customHeight="1" x14ac:dyDescent="0.35">
      <c r="B19" s="10">
        <v>7</v>
      </c>
      <c r="C19" s="3">
        <f>'Inputs and assumptions'!C25</f>
        <v>2877</v>
      </c>
      <c r="D19" s="3">
        <f t="shared" si="0"/>
        <v>0</v>
      </c>
      <c r="E19" s="36">
        <f>IF(B19=0,-'Option 3 - Start up'!$C$2,0)</f>
        <v>0</v>
      </c>
      <c r="F19" s="36">
        <v>0</v>
      </c>
      <c r="G19" s="36">
        <f>IF(B19='Option 3 - Start up'!$C$7,'Option 3 - Start up'!$C$3*'Option 3 - Start up'!D19,0)</f>
        <v>0</v>
      </c>
      <c r="H19" s="36">
        <f t="shared" si="1"/>
        <v>0</v>
      </c>
    </row>
    <row r="20" spans="2:8" ht="15" customHeight="1" x14ac:dyDescent="0.35">
      <c r="B20" s="10">
        <v>8</v>
      </c>
      <c r="C20" s="3">
        <f>'Inputs and assumptions'!C26</f>
        <v>3452</v>
      </c>
      <c r="D20" s="3">
        <f t="shared" si="0"/>
        <v>0</v>
      </c>
      <c r="E20" s="36">
        <f>IF(B20=0,-'Option 3 - Start up'!$C$2,0)</f>
        <v>0</v>
      </c>
      <c r="F20" s="36">
        <v>0</v>
      </c>
      <c r="G20" s="36">
        <f>IF(B20='Option 3 - Start up'!$C$7,'Option 3 - Start up'!$C$3*'Option 3 - Start up'!D20,0)</f>
        <v>0</v>
      </c>
      <c r="H20" s="36">
        <f t="shared" si="1"/>
        <v>0</v>
      </c>
    </row>
    <row r="21" spans="2:8" ht="15" customHeight="1" x14ac:dyDescent="0.35">
      <c r="B21" s="10">
        <v>9</v>
      </c>
      <c r="C21" s="3">
        <f>'Inputs and assumptions'!C27</f>
        <v>4142</v>
      </c>
      <c r="D21" s="3">
        <f t="shared" si="0"/>
        <v>0</v>
      </c>
      <c r="E21" s="36">
        <f>IF(B21=0,-'Option 3 - Start up'!$C$2,0)</f>
        <v>0</v>
      </c>
      <c r="F21" s="36">
        <v>0</v>
      </c>
      <c r="G21" s="36">
        <f>IF(B21='Option 3 - Start up'!$C$7,'Option 3 - Start up'!$C$3*'Option 3 - Start up'!D21,0)</f>
        <v>0</v>
      </c>
      <c r="H21" s="36">
        <f t="shared" si="1"/>
        <v>0</v>
      </c>
    </row>
    <row r="22" spans="2:8" ht="15" customHeight="1" x14ac:dyDescent="0.35">
      <c r="B22" s="10">
        <v>10</v>
      </c>
      <c r="C22" s="3">
        <f>'Inputs and assumptions'!C28</f>
        <v>4970</v>
      </c>
      <c r="D22" s="3">
        <f t="shared" si="0"/>
        <v>12425</v>
      </c>
      <c r="E22" s="36">
        <f>IF(B22=0,-'Option 3 - Start up'!$C$2,0)</f>
        <v>0</v>
      </c>
      <c r="F22" s="36">
        <v>0</v>
      </c>
      <c r="G22" s="36">
        <f>IF(B22='Option 3 - Start up'!$C$7,'Option 3 - Start up'!$C$3*'Option 3 - Start up'!D22,0)</f>
        <v>5964</v>
      </c>
      <c r="H22" s="36">
        <f t="shared" si="1"/>
        <v>5964</v>
      </c>
    </row>
    <row r="25" spans="2:8" ht="15" customHeight="1" x14ac:dyDescent="0.35">
      <c r="B25" s="9" t="s">
        <v>7</v>
      </c>
      <c r="C25" s="40">
        <f>IRR(H12:H22)</f>
        <v>0.17391226157666018</v>
      </c>
    </row>
    <row r="26" spans="2:8" ht="15" customHeight="1" x14ac:dyDescent="0.35">
      <c r="B26" s="9" t="s">
        <v>9</v>
      </c>
      <c r="C26" s="41">
        <f>SUM(F12:G22)/ABS(SUM(E12:E22))</f>
        <v>4.97</v>
      </c>
    </row>
  </sheetData>
  <mergeCells count="1">
    <mergeCell ref="C10:H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E5E2-B3F3-46A1-9291-38B16AA5B9E6}">
  <sheetPr>
    <tabColor theme="5" tint="0.59996337778862885"/>
  </sheetPr>
  <dimension ref="A1"/>
  <sheetViews>
    <sheetView showGridLines="0" zoomScale="80" zoomScaleNormal="80" workbookViewId="0"/>
  </sheetViews>
  <sheetFormatPr defaultRowHeight="15" customHeight="1" x14ac:dyDescent="0.35"/>
  <cols>
    <col min="1" max="1" width="1" customWidth="1"/>
  </cols>
  <sheetData>
    <row r="1" ht="7" customHeight="1"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038D4-49A6-4AA3-9611-CF13F8ABD189}">
  <dimension ref="B1:L26"/>
  <sheetViews>
    <sheetView showGridLines="0" topLeftCell="C1" zoomScale="70" zoomScaleNormal="70" workbookViewId="0">
      <selection activeCell="F15" sqref="F15"/>
    </sheetView>
  </sheetViews>
  <sheetFormatPr defaultRowHeight="15" customHeight="1" x14ac:dyDescent="0.35"/>
  <cols>
    <col min="1" max="1" width="1" customWidth="1"/>
    <col min="2" max="2" width="44.36328125" style="18" bestFit="1" customWidth="1"/>
    <col min="3" max="3" width="24.7265625" style="18" bestFit="1" customWidth="1"/>
    <col min="4" max="4" width="36" style="18" customWidth="1"/>
    <col min="5" max="5" width="33.7265625" style="18" customWidth="1"/>
    <col min="6" max="6" width="41.1796875" style="18" bestFit="1" customWidth="1"/>
    <col min="7" max="7" width="23.1796875" style="18" bestFit="1" customWidth="1"/>
    <col min="8" max="8" width="20.08984375" style="18" bestFit="1" customWidth="1"/>
    <col min="9" max="9" width="19.81640625" style="18" customWidth="1"/>
    <col min="10" max="11" width="8.7265625" style="18"/>
  </cols>
  <sheetData>
    <row r="1" spans="2:12" ht="7" customHeight="1" x14ac:dyDescent="0.35"/>
    <row r="2" spans="2:12" ht="15" customHeight="1" x14ac:dyDescent="0.35">
      <c r="B2" s="22" t="s">
        <v>0</v>
      </c>
      <c r="C2" s="76">
        <f>'Inputs and assumptions'!$I$6</f>
        <v>600</v>
      </c>
    </row>
    <row r="3" spans="2:12" ht="15" customHeight="1" x14ac:dyDescent="0.35">
      <c r="B3" s="22" t="s">
        <v>1</v>
      </c>
      <c r="C3" s="77">
        <f>C2/C4</f>
        <v>0.15</v>
      </c>
    </row>
    <row r="4" spans="2:12" ht="15" customHeight="1" x14ac:dyDescent="0.35">
      <c r="B4" s="22" t="s">
        <v>2</v>
      </c>
      <c r="C4" s="22">
        <f>'Option 1 - Manufacturing'!C4</f>
        <v>4000</v>
      </c>
    </row>
    <row r="5" spans="2:12" ht="15" customHeight="1" x14ac:dyDescent="0.35">
      <c r="B5" s="22" t="s">
        <v>4</v>
      </c>
      <c r="C5" s="45">
        <f>'Option 1 - Manufacturing'!C5</f>
        <v>5</v>
      </c>
    </row>
    <row r="6" spans="2:12" ht="15" customHeight="1" x14ac:dyDescent="0.35">
      <c r="B6" s="22" t="s">
        <v>19</v>
      </c>
      <c r="C6" s="46">
        <f>'Option 1 - Manufacturing'!C6</f>
        <v>0.4</v>
      </c>
    </row>
    <row r="7" spans="2:12" ht="15" customHeight="1" x14ac:dyDescent="0.35">
      <c r="B7" s="22" t="s">
        <v>5</v>
      </c>
      <c r="C7" s="45">
        <f>'Option 1 - Manufacturing'!C7</f>
        <v>10</v>
      </c>
    </row>
    <row r="8" spans="2:12" ht="15" customHeight="1" x14ac:dyDescent="0.35">
      <c r="B8" s="22" t="s">
        <v>20</v>
      </c>
      <c r="C8" s="33">
        <f>'Option 1 - Manufacturing'!C8</f>
        <v>0.15</v>
      </c>
    </row>
    <row r="10" spans="2:12" ht="15" customHeight="1" x14ac:dyDescent="0.35">
      <c r="B10" s="34" t="s">
        <v>15</v>
      </c>
      <c r="C10" s="88" t="s">
        <v>24</v>
      </c>
      <c r="D10" s="89"/>
      <c r="E10" s="89"/>
      <c r="F10" s="89"/>
      <c r="G10" s="89"/>
      <c r="H10" s="90"/>
      <c r="I10" s="90"/>
      <c r="J10" s="90"/>
      <c r="K10" s="90"/>
      <c r="L10" s="90"/>
    </row>
    <row r="11" spans="2:12" ht="15" customHeight="1" x14ac:dyDescent="0.35">
      <c r="B11" s="35" t="s">
        <v>6</v>
      </c>
      <c r="C11" s="35" t="s">
        <v>23</v>
      </c>
      <c r="D11" s="44" t="s">
        <v>112</v>
      </c>
      <c r="E11" s="78" t="s">
        <v>116</v>
      </c>
      <c r="F11" s="78" t="s">
        <v>117</v>
      </c>
      <c r="G11" s="78" t="s">
        <v>119</v>
      </c>
      <c r="H11" s="78" t="s">
        <v>118</v>
      </c>
      <c r="I11" s="78" t="s">
        <v>121</v>
      </c>
      <c r="J11" s="35" t="s">
        <v>21</v>
      </c>
      <c r="K11" s="35" t="s">
        <v>26</v>
      </c>
      <c r="L11" s="35" t="s">
        <v>22</v>
      </c>
    </row>
    <row r="12" spans="2:12" ht="15" customHeight="1" x14ac:dyDescent="0.35">
      <c r="B12" s="22">
        <v>0</v>
      </c>
      <c r="C12" s="36">
        <f t="shared" ref="C12:C22" si="0">$C$4*(1+$C$8)^B12</f>
        <v>4000</v>
      </c>
      <c r="D12" s="36">
        <f>IF(B12=0,-$C$2,0)</f>
        <v>-600</v>
      </c>
      <c r="E12" s="62">
        <f>IF(B12=0,-'Inputs and assumptions'!$I$7,0)</f>
        <v>-600</v>
      </c>
      <c r="F12" s="84">
        <f>'Inputs and assumptions'!$I$5</f>
        <v>2600</v>
      </c>
      <c r="G12" s="79">
        <f>IF(B12&gt;0,'Inputs and assumptions'!$I$9*'Option 1.b - Manufacturing'!F12,0)</f>
        <v>0</v>
      </c>
      <c r="H12" s="36">
        <v>0</v>
      </c>
      <c r="I12" s="36">
        <f>IF(H12&lt;'Inputs and assumptions'!$I$8,'Option 1.b - Manufacturing'!G12,MAX(0,'Inputs and assumptions'!$I$8-'Option 1.b - Manufacturing'!H11))</f>
        <v>0</v>
      </c>
      <c r="J12" s="36">
        <v>0</v>
      </c>
      <c r="K12" s="36">
        <f t="shared" ref="K12:K22" si="1">IF(B12=0,0,IF(B12=$C$5,C12*$C$3*$C$6,IF(B12=$C$7,C12*$C$3*(1-$C$6),0)))</f>
        <v>0</v>
      </c>
      <c r="L12" s="37">
        <f>SUM(D12,E12,I12,J12,K12)</f>
        <v>-1200</v>
      </c>
    </row>
    <row r="13" spans="2:12" ht="15" customHeight="1" x14ac:dyDescent="0.35">
      <c r="B13" s="22">
        <f>B12+1</f>
        <v>1</v>
      </c>
      <c r="C13" s="36">
        <f t="shared" si="0"/>
        <v>4600</v>
      </c>
      <c r="D13" s="36">
        <f t="shared" ref="D13:E22" si="2">IF(B13=0,-$C$2,0)</f>
        <v>0</v>
      </c>
      <c r="E13" s="36">
        <f t="shared" si="2"/>
        <v>0</v>
      </c>
      <c r="F13" s="36">
        <f>F12*(1+'Inputs and assumptions'!I12)</f>
        <v>2860.0000000000005</v>
      </c>
      <c r="G13" s="79">
        <f>IF(B13&gt;0,'Inputs and assumptions'!$I$9*'Option 1.b - Manufacturing'!F13,0)</f>
        <v>143.00000000000003</v>
      </c>
      <c r="H13" s="36">
        <f>H12+G13</f>
        <v>143.00000000000003</v>
      </c>
      <c r="I13" s="36">
        <f>IF(H13&lt;'Inputs and assumptions'!$I$8,'Option 1.b - Manufacturing'!G13,MAX(0,'Inputs and assumptions'!$I$8-'Option 1.b - Manufacturing'!H12))</f>
        <v>143.00000000000003</v>
      </c>
      <c r="J13" s="36">
        <v>0</v>
      </c>
      <c r="K13" s="36">
        <f t="shared" si="1"/>
        <v>0</v>
      </c>
      <c r="L13" s="37">
        <f t="shared" ref="L13:L22" si="3">SUM(D13,E13,I13,J13,K13)</f>
        <v>143.00000000000003</v>
      </c>
    </row>
    <row r="14" spans="2:12" ht="15" customHeight="1" x14ac:dyDescent="0.35">
      <c r="B14" s="22">
        <f t="shared" ref="B14:B22" si="4">B13+1</f>
        <v>2</v>
      </c>
      <c r="C14" s="36">
        <f t="shared" si="0"/>
        <v>5289.9999999999991</v>
      </c>
      <c r="D14" s="36">
        <f t="shared" si="2"/>
        <v>0</v>
      </c>
      <c r="E14" s="36">
        <f t="shared" si="2"/>
        <v>0</v>
      </c>
      <c r="F14" s="36">
        <f>F13*(1+'Inputs and assumptions'!I13)</f>
        <v>3146.0000000000009</v>
      </c>
      <c r="G14" s="79">
        <f>IF(B14&gt;0,'Inputs and assumptions'!$I$9*'Option 1.b - Manufacturing'!F14,0)</f>
        <v>157.30000000000007</v>
      </c>
      <c r="H14" s="36">
        <f t="shared" ref="H14:H22" si="5">H13+G14</f>
        <v>300.30000000000007</v>
      </c>
      <c r="I14" s="36">
        <f>IF(H14&lt;'Inputs and assumptions'!$I$8,'Option 1.b - Manufacturing'!G14,MAX(0,'Inputs and assumptions'!$I$8-'Option 1.b - Manufacturing'!H13))</f>
        <v>157.30000000000007</v>
      </c>
      <c r="J14" s="36">
        <v>0</v>
      </c>
      <c r="K14" s="36">
        <f t="shared" si="1"/>
        <v>0</v>
      </c>
      <c r="L14" s="37">
        <f t="shared" si="3"/>
        <v>157.30000000000007</v>
      </c>
    </row>
    <row r="15" spans="2:12" ht="15" customHeight="1" x14ac:dyDescent="0.35">
      <c r="B15" s="22">
        <f t="shared" si="4"/>
        <v>3</v>
      </c>
      <c r="C15" s="36">
        <f t="shared" si="0"/>
        <v>6083.4999999999982</v>
      </c>
      <c r="D15" s="36">
        <f t="shared" si="2"/>
        <v>0</v>
      </c>
      <c r="E15" s="36">
        <f t="shared" si="2"/>
        <v>0</v>
      </c>
      <c r="F15" s="36">
        <f>F14*(1+'Inputs and assumptions'!I14)</f>
        <v>3460.6000000000013</v>
      </c>
      <c r="G15" s="79">
        <f>IF(B15&gt;0,'Inputs and assumptions'!$I$9*'Option 1.b - Manufacturing'!F15,0)</f>
        <v>173.03000000000009</v>
      </c>
      <c r="H15" s="36">
        <f t="shared" si="5"/>
        <v>473.33000000000015</v>
      </c>
      <c r="I15" s="36">
        <f>IF(H15&lt;'Inputs and assumptions'!$I$8,'Option 1.b - Manufacturing'!G15,MAX(0,'Inputs and assumptions'!$I$8-'Option 1.b - Manufacturing'!H14))</f>
        <v>173.03000000000009</v>
      </c>
      <c r="J15" s="36">
        <v>0</v>
      </c>
      <c r="K15" s="36">
        <f t="shared" si="1"/>
        <v>0</v>
      </c>
      <c r="L15" s="37">
        <f t="shared" si="3"/>
        <v>173.03000000000009</v>
      </c>
    </row>
    <row r="16" spans="2:12" ht="15" customHeight="1" x14ac:dyDescent="0.35">
      <c r="B16" s="22">
        <f t="shared" si="4"/>
        <v>4</v>
      </c>
      <c r="C16" s="36">
        <f t="shared" si="0"/>
        <v>6996.0249999999978</v>
      </c>
      <c r="D16" s="36">
        <f t="shared" si="2"/>
        <v>0</v>
      </c>
      <c r="E16" s="36">
        <f t="shared" si="2"/>
        <v>0</v>
      </c>
      <c r="F16" s="36">
        <f>F15*(1+'Inputs and assumptions'!I15)</f>
        <v>3806.6600000000017</v>
      </c>
      <c r="G16" s="79">
        <f>IF(B16&gt;0,'Inputs and assumptions'!$I$9*'Option 1.b - Manufacturing'!F16,0)</f>
        <v>190.33300000000008</v>
      </c>
      <c r="H16" s="36">
        <f t="shared" si="5"/>
        <v>663.66300000000024</v>
      </c>
      <c r="I16" s="36">
        <f>IF(H16&lt;'Inputs and assumptions'!$I$8,'Option 1.b - Manufacturing'!G16,MAX(0,'Inputs and assumptions'!$I$8-'Option 1.b - Manufacturing'!H15))</f>
        <v>190.33300000000008</v>
      </c>
      <c r="J16" s="36">
        <v>0</v>
      </c>
      <c r="K16" s="36">
        <f t="shared" si="1"/>
        <v>0</v>
      </c>
      <c r="L16" s="37">
        <f t="shared" si="3"/>
        <v>190.33300000000008</v>
      </c>
    </row>
    <row r="17" spans="2:12" ht="15" customHeight="1" x14ac:dyDescent="0.35">
      <c r="B17" s="22">
        <f t="shared" si="4"/>
        <v>5</v>
      </c>
      <c r="C17" s="36">
        <f t="shared" si="0"/>
        <v>8045.4287499999973</v>
      </c>
      <c r="D17" s="36">
        <f t="shared" si="2"/>
        <v>0</v>
      </c>
      <c r="E17" s="36">
        <f t="shared" si="2"/>
        <v>0</v>
      </c>
      <c r="F17" s="36">
        <f>F16*(1+'Inputs and assumptions'!I16)</f>
        <v>4187.3260000000018</v>
      </c>
      <c r="G17" s="79">
        <f>IF(B17&gt;0,'Inputs and assumptions'!$I$9*'Option 1.b - Manufacturing'!F17,0)</f>
        <v>209.36630000000011</v>
      </c>
      <c r="H17" s="36">
        <f t="shared" si="5"/>
        <v>873.02930000000038</v>
      </c>
      <c r="I17" s="36">
        <f>IF(H17&lt;'Inputs and assumptions'!$I$8,'Option 1.b - Manufacturing'!G17,MAX(0,'Inputs and assumptions'!$I$8-'Option 1.b - Manufacturing'!H16))</f>
        <v>209.36630000000011</v>
      </c>
      <c r="J17" s="36">
        <v>0</v>
      </c>
      <c r="K17" s="36">
        <f t="shared" si="1"/>
        <v>482.72572499999978</v>
      </c>
      <c r="L17" s="37">
        <f t="shared" si="3"/>
        <v>692.09202499999992</v>
      </c>
    </row>
    <row r="18" spans="2:12" ht="15" customHeight="1" x14ac:dyDescent="0.35">
      <c r="B18" s="22">
        <f t="shared" si="4"/>
        <v>6</v>
      </c>
      <c r="C18" s="36">
        <f t="shared" si="0"/>
        <v>9252.2430624999961</v>
      </c>
      <c r="D18" s="36">
        <f t="shared" si="2"/>
        <v>0</v>
      </c>
      <c r="E18" s="36">
        <f t="shared" si="2"/>
        <v>0</v>
      </c>
      <c r="F18" s="36">
        <f>F17*(1+'Inputs and assumptions'!I17)</f>
        <v>4480.4388200000021</v>
      </c>
      <c r="G18" s="79">
        <f>IF(B18&gt;0,'Inputs and assumptions'!$I$9*'Option 1.b - Manufacturing'!F18,0)</f>
        <v>224.02194100000011</v>
      </c>
      <c r="H18" s="36">
        <f t="shared" si="5"/>
        <v>1097.0512410000006</v>
      </c>
      <c r="I18" s="36">
        <f>IF(H18&lt;'Inputs and assumptions'!$I$8,'Option 1.b - Manufacturing'!G18,MAX(0,'Inputs and assumptions'!$I$8-'Option 1.b - Manufacturing'!H17))</f>
        <v>224.02194100000011</v>
      </c>
      <c r="J18" s="36">
        <v>0</v>
      </c>
      <c r="K18" s="36">
        <f t="shared" si="1"/>
        <v>0</v>
      </c>
      <c r="L18" s="37">
        <f t="shared" si="3"/>
        <v>224.02194100000011</v>
      </c>
    </row>
    <row r="19" spans="2:12" ht="15" customHeight="1" x14ac:dyDescent="0.35">
      <c r="B19" s="22">
        <f t="shared" si="4"/>
        <v>7</v>
      </c>
      <c r="C19" s="36">
        <f t="shared" si="0"/>
        <v>10640.079521874994</v>
      </c>
      <c r="D19" s="36">
        <f t="shared" si="2"/>
        <v>0</v>
      </c>
      <c r="E19" s="36">
        <f t="shared" si="2"/>
        <v>0</v>
      </c>
      <c r="F19" s="36">
        <f>F18*(1+'Inputs and assumptions'!I18)</f>
        <v>4794.0695374000024</v>
      </c>
      <c r="G19" s="79">
        <f>IF(B19&gt;0,'Inputs and assumptions'!$I$9*'Option 1.b - Manufacturing'!F19,0)</f>
        <v>239.70347687000015</v>
      </c>
      <c r="H19" s="36">
        <f t="shared" si="5"/>
        <v>1336.7547178700006</v>
      </c>
      <c r="I19" s="36">
        <f>IF(H19&lt;'Inputs and assumptions'!$I$8,'Option 1.b - Manufacturing'!G19,MAX(0,'Inputs and assumptions'!$I$8-'Option 1.b - Manufacturing'!H18))</f>
        <v>102.94875899999943</v>
      </c>
      <c r="J19" s="36">
        <v>0</v>
      </c>
      <c r="K19" s="36">
        <f t="shared" si="1"/>
        <v>0</v>
      </c>
      <c r="L19" s="37">
        <f t="shared" si="3"/>
        <v>102.94875899999943</v>
      </c>
    </row>
    <row r="20" spans="2:12" ht="15" customHeight="1" x14ac:dyDescent="0.35">
      <c r="B20" s="22">
        <f t="shared" si="4"/>
        <v>8</v>
      </c>
      <c r="C20" s="36">
        <f t="shared" si="0"/>
        <v>12236.091450156242</v>
      </c>
      <c r="D20" s="36">
        <f t="shared" si="2"/>
        <v>0</v>
      </c>
      <c r="E20" s="36">
        <f t="shared" si="2"/>
        <v>0</v>
      </c>
      <c r="F20" s="36">
        <f>F19*(1+'Inputs and assumptions'!I19)</f>
        <v>5129.6544050180028</v>
      </c>
      <c r="G20" s="79">
        <f>IF(B20&gt;0,'Inputs and assumptions'!$I$9*'Option 1.b - Manufacturing'!F20,0)</f>
        <v>256.48272025090017</v>
      </c>
      <c r="H20" s="36">
        <f t="shared" si="5"/>
        <v>1593.2374381209008</v>
      </c>
      <c r="I20" s="36">
        <f>IF(H20&lt;'Inputs and assumptions'!$I$8,'Option 1.b - Manufacturing'!G20,MAX(0,'Inputs and assumptions'!$I$8-'Option 1.b - Manufacturing'!H19))</f>
        <v>0</v>
      </c>
      <c r="J20" s="36">
        <v>0</v>
      </c>
      <c r="K20" s="36">
        <f t="shared" si="1"/>
        <v>0</v>
      </c>
      <c r="L20" s="37">
        <f t="shared" si="3"/>
        <v>0</v>
      </c>
    </row>
    <row r="21" spans="2:12" ht="15" customHeight="1" x14ac:dyDescent="0.35">
      <c r="B21" s="22">
        <f t="shared" si="4"/>
        <v>9</v>
      </c>
      <c r="C21" s="36">
        <f t="shared" si="0"/>
        <v>14071.505167679676</v>
      </c>
      <c r="D21" s="36">
        <f t="shared" si="2"/>
        <v>0</v>
      </c>
      <c r="E21" s="36">
        <f t="shared" si="2"/>
        <v>0</v>
      </c>
      <c r="F21" s="36">
        <f>F20*(1+'Inputs and assumptions'!I20)</f>
        <v>5488.7302133692629</v>
      </c>
      <c r="G21" s="79">
        <f>IF(B21&gt;0,'Inputs and assumptions'!$I$9*'Option 1.b - Manufacturing'!F21,0)</f>
        <v>274.43651066846314</v>
      </c>
      <c r="H21" s="36">
        <f t="shared" si="5"/>
        <v>1867.673948789364</v>
      </c>
      <c r="I21" s="36">
        <f>IF(H21&lt;'Inputs and assumptions'!$I$8,'Option 1.b - Manufacturing'!G21,MAX(0,'Inputs and assumptions'!$I$8-'Option 1.b - Manufacturing'!H20))</f>
        <v>0</v>
      </c>
      <c r="J21" s="36">
        <v>0</v>
      </c>
      <c r="K21" s="36">
        <f t="shared" si="1"/>
        <v>0</v>
      </c>
      <c r="L21" s="37">
        <f t="shared" si="3"/>
        <v>0</v>
      </c>
    </row>
    <row r="22" spans="2:12" ht="15" customHeight="1" x14ac:dyDescent="0.35">
      <c r="B22" s="22">
        <f t="shared" si="4"/>
        <v>10</v>
      </c>
      <c r="C22" s="36">
        <f t="shared" si="0"/>
        <v>16182.230942831628</v>
      </c>
      <c r="D22" s="36">
        <f t="shared" si="2"/>
        <v>0</v>
      </c>
      <c r="E22" s="36">
        <f t="shared" si="2"/>
        <v>0</v>
      </c>
      <c r="F22" s="36">
        <f>F21*(1+'Inputs and assumptions'!I21)</f>
        <v>5872.9413283051117</v>
      </c>
      <c r="G22" s="79">
        <f>IF(B22&gt;0,'Inputs and assumptions'!$I$9*'Option 1.b - Manufacturing'!F22,0)</f>
        <v>293.64706641525561</v>
      </c>
      <c r="H22" s="36">
        <f t="shared" si="5"/>
        <v>2161.3210152046195</v>
      </c>
      <c r="I22" s="36">
        <f>IF(H22&lt;'Inputs and assumptions'!$I$8,'Option 1.b - Manufacturing'!G22,MAX(0,'Inputs and assumptions'!$I$8-'Option 1.b - Manufacturing'!H21))</f>
        <v>0</v>
      </c>
      <c r="J22" s="36">
        <v>0</v>
      </c>
      <c r="K22" s="36">
        <f t="shared" si="1"/>
        <v>1456.4007848548463</v>
      </c>
      <c r="L22" s="37">
        <f t="shared" si="3"/>
        <v>1456.4007848548463</v>
      </c>
    </row>
    <row r="23" spans="2:12" ht="15" customHeight="1" x14ac:dyDescent="0.35">
      <c r="F23" s="48">
        <f>'Inputs and assumptions'!I5*(1+10%)^5*(1+7%)^5</f>
        <v>5872.9413283051117</v>
      </c>
      <c r="G23" s="38"/>
      <c r="H23" s="48"/>
      <c r="I23" s="48">
        <f>SUM(I12:I22)</f>
        <v>1200</v>
      </c>
      <c r="L23" s="48"/>
    </row>
    <row r="24" spans="2:12" ht="15" customHeight="1" x14ac:dyDescent="0.35">
      <c r="B24" s="61" t="s">
        <v>16</v>
      </c>
      <c r="F24" s="81" t="b">
        <f>F23=F22</f>
        <v>1</v>
      </c>
      <c r="G24" s="38"/>
      <c r="I24" s="80" t="b">
        <f>I23='Inputs and assumptions'!I8</f>
        <v>1</v>
      </c>
      <c r="L24" s="18"/>
    </row>
    <row r="25" spans="2:12" ht="15" customHeight="1" x14ac:dyDescent="0.35">
      <c r="B25" s="22" t="s">
        <v>7</v>
      </c>
      <c r="C25" s="49">
        <f>IRR(L12:L22)</f>
        <v>0.16766797564808833</v>
      </c>
      <c r="G25" s="38"/>
      <c r="I25" s="48"/>
      <c r="L25" s="18"/>
    </row>
    <row r="26" spans="2:12" ht="15" customHeight="1" x14ac:dyDescent="0.35">
      <c r="B26" s="22" t="s">
        <v>10</v>
      </c>
      <c r="C26" s="41">
        <f>SUM(I12:K22)/ABS(SUM(D12:E22))</f>
        <v>2.6159387582123719</v>
      </c>
      <c r="G26" s="38"/>
      <c r="I26" s="48"/>
      <c r="L26" s="18"/>
    </row>
  </sheetData>
  <mergeCells count="1">
    <mergeCell ref="C10:L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3E9C-C150-4043-9EC1-B8B7DC33AF2B}">
  <dimension ref="B1:J26"/>
  <sheetViews>
    <sheetView showGridLines="0" zoomScale="70" zoomScaleNormal="70" workbookViewId="0">
      <selection activeCell="E17" sqref="E17"/>
    </sheetView>
  </sheetViews>
  <sheetFormatPr defaultRowHeight="15" customHeight="1" x14ac:dyDescent="0.35"/>
  <cols>
    <col min="1" max="1" width="1" customWidth="1"/>
    <col min="2" max="2" width="44.36328125" style="18" bestFit="1" customWidth="1"/>
    <col min="3" max="3" width="22.453125" style="18" bestFit="1" customWidth="1"/>
    <col min="4" max="4" width="24.54296875" style="18" bestFit="1" customWidth="1"/>
    <col min="5" max="5" width="15.81640625" style="18" bestFit="1" customWidth="1"/>
    <col min="6" max="6" width="21.6328125" style="18" bestFit="1" customWidth="1"/>
    <col min="7" max="7" width="25.6328125" style="18" bestFit="1" customWidth="1"/>
    <col min="8" max="10" width="8.7265625" style="18"/>
  </cols>
  <sheetData>
    <row r="1" spans="2:7" ht="7" customHeight="1" x14ac:dyDescent="0.35"/>
    <row r="2" spans="2:7" ht="15" customHeight="1" x14ac:dyDescent="0.35">
      <c r="B2" s="22" t="s">
        <v>0</v>
      </c>
      <c r="C2" s="31">
        <f>'Option 2 - Highway'!C2</f>
        <v>1575</v>
      </c>
      <c r="E2" s="9" t="s">
        <v>58</v>
      </c>
      <c r="F2" s="33">
        <f>'Inputs and assumptions'!D14</f>
        <v>0.09</v>
      </c>
    </row>
    <row r="3" spans="2:7" ht="15" customHeight="1" x14ac:dyDescent="0.35">
      <c r="B3" s="22" t="s">
        <v>1</v>
      </c>
      <c r="C3" s="46">
        <f>'Option 2 - Highway'!C3</f>
        <v>0.45</v>
      </c>
      <c r="E3" s="9" t="s">
        <v>57</v>
      </c>
      <c r="F3" s="62">
        <f>C4</f>
        <v>3500</v>
      </c>
    </row>
    <row r="4" spans="2:7" ht="15" customHeight="1" x14ac:dyDescent="0.35">
      <c r="B4" s="22" t="s">
        <v>2</v>
      </c>
      <c r="C4" s="22">
        <f>'Option 2 - Highway'!C4</f>
        <v>3500</v>
      </c>
    </row>
    <row r="5" spans="2:7" ht="15" customHeight="1" x14ac:dyDescent="0.35">
      <c r="B5" s="57" t="str">
        <f>'Inputs and assumptions'!H24</f>
        <v>Partial Exit Year</v>
      </c>
      <c r="C5" s="57">
        <f>'Inputs and assumptions'!I24</f>
        <v>5</v>
      </c>
    </row>
    <row r="6" spans="2:7" ht="15" customHeight="1" x14ac:dyDescent="0.35">
      <c r="B6" s="57" t="str">
        <f>'Inputs and assumptions'!H25</f>
        <v>Partial Exit % of Stake (% of the stake of ABC Group)</v>
      </c>
      <c r="C6" s="58">
        <f>'Inputs and assumptions'!I25</f>
        <v>0.4</v>
      </c>
    </row>
    <row r="7" spans="2:7" ht="15" customHeight="1" x14ac:dyDescent="0.35">
      <c r="B7" s="22" t="s">
        <v>5</v>
      </c>
      <c r="C7" s="31">
        <f>'Option 2 - Highway'!C7</f>
        <v>10</v>
      </c>
    </row>
    <row r="8" spans="2:7" ht="15" customHeight="1" x14ac:dyDescent="0.35">
      <c r="B8" s="22" t="s">
        <v>20</v>
      </c>
      <c r="C8" s="33">
        <f>'Option 2 - Highway'!C8</f>
        <v>0.1</v>
      </c>
    </row>
    <row r="10" spans="2:7" ht="15" customHeight="1" x14ac:dyDescent="0.35">
      <c r="B10" s="34" t="s">
        <v>15</v>
      </c>
      <c r="C10" s="85" t="s">
        <v>24</v>
      </c>
      <c r="D10" s="85"/>
      <c r="E10" s="85"/>
      <c r="F10" s="85"/>
      <c r="G10" s="85"/>
    </row>
    <row r="11" spans="2:7" ht="15" customHeight="1" x14ac:dyDescent="0.35">
      <c r="B11" s="35" t="s">
        <v>6</v>
      </c>
      <c r="C11" s="35" t="s">
        <v>23</v>
      </c>
      <c r="D11" s="44" t="s">
        <v>55</v>
      </c>
      <c r="E11" s="35" t="s">
        <v>21</v>
      </c>
      <c r="F11" s="35" t="s">
        <v>26</v>
      </c>
      <c r="G11" s="35" t="s">
        <v>22</v>
      </c>
    </row>
    <row r="12" spans="2:7" ht="15" customHeight="1" x14ac:dyDescent="0.35">
      <c r="B12" s="22">
        <v>0</v>
      </c>
      <c r="C12" s="36">
        <f t="shared" ref="C12:C22" si="0">$C$4*(1+$C$8)^B12</f>
        <v>3500</v>
      </c>
      <c r="D12" s="36">
        <f>IF(B12=0,-$C$2,0)</f>
        <v>-1575</v>
      </c>
      <c r="E12" s="71">
        <f t="shared" ref="E12:E22" si="1">IF(B12&gt;0,IF(B12&lt;=$C$5,1, (1-$C$6))*$F$2*$C$3*$F$3,0)</f>
        <v>0</v>
      </c>
      <c r="F12" s="59">
        <f t="shared" ref="F12:F22" si="2">IF(B12=$C$5,$C$6*$C$3*$C12,IF(B12=$C$7,(1-$C$6)*$C12*$C$3,0))</f>
        <v>0</v>
      </c>
      <c r="G12" s="37">
        <f>SUM(D12:F12)</f>
        <v>-1575</v>
      </c>
    </row>
    <row r="13" spans="2:7" ht="15" customHeight="1" x14ac:dyDescent="0.35">
      <c r="B13" s="22">
        <f t="shared" ref="B13:B22" si="3">B12+1</f>
        <v>1</v>
      </c>
      <c r="C13" s="36">
        <f t="shared" si="0"/>
        <v>3850.0000000000005</v>
      </c>
      <c r="D13" s="36">
        <f t="shared" ref="D13:D22" si="4">IF(B13=0,-$C$2,0)</f>
        <v>0</v>
      </c>
      <c r="E13" s="71">
        <f t="shared" si="1"/>
        <v>141.75</v>
      </c>
      <c r="F13" s="59">
        <f t="shared" si="2"/>
        <v>0</v>
      </c>
      <c r="G13" s="37">
        <f t="shared" ref="G13:G22" si="5">SUM(D13:F13)</f>
        <v>141.75</v>
      </c>
    </row>
    <row r="14" spans="2:7" ht="15" customHeight="1" x14ac:dyDescent="0.35">
      <c r="B14" s="22">
        <f t="shared" si="3"/>
        <v>2</v>
      </c>
      <c r="C14" s="36">
        <f t="shared" si="0"/>
        <v>4235.0000000000009</v>
      </c>
      <c r="D14" s="36">
        <f t="shared" si="4"/>
        <v>0</v>
      </c>
      <c r="E14" s="71">
        <f t="shared" si="1"/>
        <v>141.75</v>
      </c>
      <c r="F14" s="59">
        <f t="shared" si="2"/>
        <v>0</v>
      </c>
      <c r="G14" s="37">
        <f t="shared" si="5"/>
        <v>141.75</v>
      </c>
    </row>
    <row r="15" spans="2:7" ht="15" customHeight="1" x14ac:dyDescent="0.35">
      <c r="B15" s="22">
        <f t="shared" si="3"/>
        <v>3</v>
      </c>
      <c r="C15" s="36">
        <f t="shared" si="0"/>
        <v>4658.5000000000018</v>
      </c>
      <c r="D15" s="36">
        <f t="shared" si="4"/>
        <v>0</v>
      </c>
      <c r="E15" s="71">
        <f t="shared" si="1"/>
        <v>141.75</v>
      </c>
      <c r="F15" s="59">
        <f t="shared" si="2"/>
        <v>0</v>
      </c>
      <c r="G15" s="37">
        <f t="shared" si="5"/>
        <v>141.75</v>
      </c>
    </row>
    <row r="16" spans="2:7" ht="15" customHeight="1" x14ac:dyDescent="0.35">
      <c r="B16" s="22">
        <f t="shared" si="3"/>
        <v>4</v>
      </c>
      <c r="C16" s="36">
        <f t="shared" si="0"/>
        <v>5124.3500000000013</v>
      </c>
      <c r="D16" s="36">
        <f t="shared" si="4"/>
        <v>0</v>
      </c>
      <c r="E16" s="71">
        <f t="shared" si="1"/>
        <v>141.75</v>
      </c>
      <c r="F16" s="59">
        <f t="shared" si="2"/>
        <v>0</v>
      </c>
      <c r="G16" s="37">
        <f t="shared" si="5"/>
        <v>141.75</v>
      </c>
    </row>
    <row r="17" spans="2:9" ht="15" customHeight="1" x14ac:dyDescent="0.35">
      <c r="B17" s="22">
        <f t="shared" si="3"/>
        <v>5</v>
      </c>
      <c r="C17" s="36">
        <f t="shared" si="0"/>
        <v>5636.7850000000017</v>
      </c>
      <c r="D17" s="36">
        <f t="shared" si="4"/>
        <v>0</v>
      </c>
      <c r="E17" s="71">
        <f t="shared" si="1"/>
        <v>141.75</v>
      </c>
      <c r="F17" s="59">
        <f t="shared" si="2"/>
        <v>1014.6213000000005</v>
      </c>
      <c r="G17" s="37">
        <f t="shared" si="5"/>
        <v>1156.3713000000005</v>
      </c>
      <c r="I17" s="60"/>
    </row>
    <row r="18" spans="2:9" ht="15" customHeight="1" x14ac:dyDescent="0.35">
      <c r="B18" s="22">
        <f t="shared" si="3"/>
        <v>6</v>
      </c>
      <c r="C18" s="36">
        <f t="shared" si="0"/>
        <v>6200.4635000000026</v>
      </c>
      <c r="D18" s="36">
        <f t="shared" si="4"/>
        <v>0</v>
      </c>
      <c r="E18" s="71">
        <f t="shared" si="1"/>
        <v>85.05</v>
      </c>
      <c r="F18" s="59">
        <f t="shared" si="2"/>
        <v>0</v>
      </c>
      <c r="G18" s="37">
        <f t="shared" si="5"/>
        <v>85.05</v>
      </c>
    </row>
    <row r="19" spans="2:9" ht="15" customHeight="1" x14ac:dyDescent="0.35">
      <c r="B19" s="22">
        <f t="shared" si="3"/>
        <v>7</v>
      </c>
      <c r="C19" s="36">
        <f t="shared" si="0"/>
        <v>6820.509850000004</v>
      </c>
      <c r="D19" s="36">
        <f t="shared" si="4"/>
        <v>0</v>
      </c>
      <c r="E19" s="71">
        <f t="shared" si="1"/>
        <v>85.05</v>
      </c>
      <c r="F19" s="59">
        <f t="shared" si="2"/>
        <v>0</v>
      </c>
      <c r="G19" s="37">
        <f t="shared" si="5"/>
        <v>85.05</v>
      </c>
    </row>
    <row r="20" spans="2:9" ht="15" customHeight="1" x14ac:dyDescent="0.35">
      <c r="B20" s="22">
        <f t="shared" si="3"/>
        <v>8</v>
      </c>
      <c r="C20" s="36">
        <f t="shared" si="0"/>
        <v>7502.5608350000039</v>
      </c>
      <c r="D20" s="36">
        <f t="shared" si="4"/>
        <v>0</v>
      </c>
      <c r="E20" s="71">
        <f t="shared" si="1"/>
        <v>85.05</v>
      </c>
      <c r="F20" s="59">
        <f t="shared" si="2"/>
        <v>0</v>
      </c>
      <c r="G20" s="37">
        <f t="shared" si="5"/>
        <v>85.05</v>
      </c>
    </row>
    <row r="21" spans="2:9" ht="15" customHeight="1" x14ac:dyDescent="0.35">
      <c r="B21" s="22">
        <f t="shared" si="3"/>
        <v>9</v>
      </c>
      <c r="C21" s="36">
        <f t="shared" si="0"/>
        <v>8252.8169185000042</v>
      </c>
      <c r="D21" s="36">
        <f t="shared" si="4"/>
        <v>0</v>
      </c>
      <c r="E21" s="71">
        <f t="shared" si="1"/>
        <v>85.05</v>
      </c>
      <c r="F21" s="59">
        <f t="shared" si="2"/>
        <v>0</v>
      </c>
      <c r="G21" s="37">
        <f t="shared" si="5"/>
        <v>85.05</v>
      </c>
    </row>
    <row r="22" spans="2:9" ht="15" customHeight="1" x14ac:dyDescent="0.35">
      <c r="B22" s="22">
        <f t="shared" si="3"/>
        <v>10</v>
      </c>
      <c r="C22" s="36">
        <f t="shared" si="0"/>
        <v>9078.0986103500072</v>
      </c>
      <c r="D22" s="36">
        <f t="shared" si="4"/>
        <v>0</v>
      </c>
      <c r="E22" s="71">
        <f t="shared" si="1"/>
        <v>85.05</v>
      </c>
      <c r="F22" s="59">
        <f t="shared" si="2"/>
        <v>2451.0866247945019</v>
      </c>
      <c r="G22" s="37">
        <f t="shared" si="5"/>
        <v>2536.136624794502</v>
      </c>
    </row>
    <row r="23" spans="2:9" ht="15" customHeight="1" x14ac:dyDescent="0.35">
      <c r="C23" s="38"/>
      <c r="D23" s="38"/>
      <c r="E23" s="69">
        <f>E18/E17</f>
        <v>0.6</v>
      </c>
      <c r="F23" s="48">
        <f>F22</f>
        <v>2451.0866247945019</v>
      </c>
      <c r="G23" s="48">
        <f>SUM(G12:G22)</f>
        <v>3024.7079247945026</v>
      </c>
    </row>
    <row r="24" spans="2:9" ht="15" customHeight="1" x14ac:dyDescent="0.35">
      <c r="B24" s="39" t="s">
        <v>16</v>
      </c>
      <c r="E24" s="69">
        <f>1-C6</f>
        <v>0.6</v>
      </c>
      <c r="F24" s="48">
        <f>C2*(1-C6)*(1+C8)^10</f>
        <v>2451.0866247945019</v>
      </c>
      <c r="G24" s="48">
        <f>SUM('Option 2 - Highway'!G12:G22)</f>
        <v>3927.6443746575032</v>
      </c>
    </row>
    <row r="25" spans="2:9" ht="15" customHeight="1" x14ac:dyDescent="0.35">
      <c r="B25" s="22" t="s">
        <v>7</v>
      </c>
      <c r="C25" s="40">
        <f>IRR(G12:G22)</f>
        <v>0.16702091419423026</v>
      </c>
      <c r="D25" s="27" t="s">
        <v>34</v>
      </c>
      <c r="E25" s="27" t="b">
        <f>E24=E23</f>
        <v>1</v>
      </c>
      <c r="F25" s="27" t="b">
        <f>F24=F23</f>
        <v>1</v>
      </c>
      <c r="G25" s="27" t="b">
        <f>G23&lt;G24</f>
        <v>1</v>
      </c>
    </row>
    <row r="26" spans="2:9" ht="15" customHeight="1" x14ac:dyDescent="0.35">
      <c r="B26" s="22" t="s">
        <v>10</v>
      </c>
      <c r="C26" s="41">
        <f>SUM(E12:F22)/ABS(SUM(D12:D22))</f>
        <v>2.9204494760600013</v>
      </c>
    </row>
  </sheetData>
  <mergeCells count="1">
    <mergeCell ref="C10:G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374DA-4991-4736-922D-46827675A0B6}">
  <dimension ref="B1:K26"/>
  <sheetViews>
    <sheetView showGridLines="0" zoomScale="70" zoomScaleNormal="70" workbookViewId="0"/>
  </sheetViews>
  <sheetFormatPr defaultRowHeight="15" customHeight="1" x14ac:dyDescent="0.35"/>
  <cols>
    <col min="1" max="1" width="1" customWidth="1"/>
    <col min="2" max="2" width="50.6328125" style="18" bestFit="1" customWidth="1"/>
    <col min="3" max="3" width="20.7265625" style="18" bestFit="1" customWidth="1"/>
    <col min="4" max="4" width="18.81640625" style="18" bestFit="1" customWidth="1"/>
    <col min="5" max="5" width="18.1796875" style="18" bestFit="1" customWidth="1"/>
    <col min="6" max="6" width="22.453125" style="18" bestFit="1" customWidth="1"/>
    <col min="7" max="7" width="24.54296875" style="18" bestFit="1" customWidth="1"/>
    <col min="8" max="8" width="15.81640625" style="18" bestFit="1" customWidth="1"/>
    <col min="9" max="9" width="21.6328125" style="18" bestFit="1" customWidth="1"/>
    <col min="10" max="10" width="25.6328125" style="18" bestFit="1" customWidth="1"/>
  </cols>
  <sheetData>
    <row r="1" spans="2:11" ht="7" customHeight="1" x14ac:dyDescent="0.35"/>
    <row r="2" spans="2:11" ht="15" customHeight="1" x14ac:dyDescent="0.35">
      <c r="B2" s="9" t="s">
        <v>0</v>
      </c>
      <c r="C2" s="31">
        <f>'Inputs and assumptions'!E3</f>
        <v>1200</v>
      </c>
      <c r="E2" s="52" t="str">
        <f>'Inputs and assumptions'!H29</f>
        <v xml:space="preserve">Profit accumulation rate </v>
      </c>
      <c r="F2" s="53">
        <f>'Inputs and assumptions'!I29</f>
        <v>7.0000000000000007E-2</v>
      </c>
    </row>
    <row r="3" spans="2:11" ht="15" customHeight="1" x14ac:dyDescent="0.35">
      <c r="B3" s="9" t="s">
        <v>1</v>
      </c>
      <c r="C3" s="42">
        <f>C2/(C4+C2)</f>
        <v>0.48</v>
      </c>
      <c r="E3" s="52" t="str">
        <f>'Inputs and assumptions'!H30</f>
        <v>Accumulated profits (losses) at start of prohjection (INR Cr)</v>
      </c>
      <c r="F3" s="52">
        <f>'Inputs and assumptions'!I30</f>
        <v>-200</v>
      </c>
    </row>
    <row r="4" spans="2:11" ht="15" customHeight="1" x14ac:dyDescent="0.35">
      <c r="B4" s="10" t="s">
        <v>11</v>
      </c>
      <c r="C4" s="31">
        <f>'Inputs and assumptions'!E5</f>
        <v>1300</v>
      </c>
      <c r="E4" s="52" t="str">
        <f>'Inputs and assumptions'!H31</f>
        <v>Accumulated profits Multiple for Valuation</v>
      </c>
      <c r="F4" s="52">
        <f>'Inputs and assumptions'!I31</f>
        <v>10</v>
      </c>
    </row>
    <row r="5" spans="2:11" ht="15" customHeight="1" x14ac:dyDescent="0.35">
      <c r="B5" s="9" t="s">
        <v>4</v>
      </c>
      <c r="C5" s="45" t="str">
        <f>'Inputs and assumptions'!E6</f>
        <v>n/a</v>
      </c>
    </row>
    <row r="6" spans="2:11" ht="15" customHeight="1" x14ac:dyDescent="0.35">
      <c r="B6" s="9" t="s">
        <v>19</v>
      </c>
      <c r="C6" s="46" t="str">
        <f>'Inputs and assumptions'!E7</f>
        <v>n/a</v>
      </c>
    </row>
    <row r="7" spans="2:11" ht="15" customHeight="1" x14ac:dyDescent="0.35">
      <c r="B7" s="9" t="s">
        <v>5</v>
      </c>
      <c r="C7" s="31">
        <f>'Inputs and assumptions'!E8</f>
        <v>10</v>
      </c>
    </row>
    <row r="8" spans="2:11" ht="15" customHeight="1" x14ac:dyDescent="0.35">
      <c r="B8" s="9" t="s">
        <v>20</v>
      </c>
      <c r="C8" s="46" t="str">
        <f>'Inputs and assumptions'!E13</f>
        <v>n/a</v>
      </c>
    </row>
    <row r="10" spans="2:11" ht="15" customHeight="1" x14ac:dyDescent="0.35">
      <c r="B10" s="34" t="s">
        <v>15</v>
      </c>
      <c r="C10" s="86" t="s">
        <v>24</v>
      </c>
      <c r="D10" s="87"/>
      <c r="E10" s="87"/>
      <c r="F10" s="87"/>
      <c r="G10" s="87"/>
    </row>
    <row r="11" spans="2:11" ht="15" customHeight="1" x14ac:dyDescent="0.35">
      <c r="B11" s="35" t="s">
        <v>6</v>
      </c>
      <c r="C11" s="54" t="s">
        <v>32</v>
      </c>
      <c r="D11" s="54" t="s">
        <v>56</v>
      </c>
      <c r="E11" s="54" t="s">
        <v>42</v>
      </c>
      <c r="F11" s="54" t="s">
        <v>23</v>
      </c>
      <c r="G11" s="35" t="s">
        <v>25</v>
      </c>
      <c r="H11" s="35" t="s">
        <v>21</v>
      </c>
      <c r="I11" s="35" t="s">
        <v>26</v>
      </c>
      <c r="J11" s="35" t="s">
        <v>22</v>
      </c>
    </row>
    <row r="12" spans="2:11" ht="15" customHeight="1" x14ac:dyDescent="0.35">
      <c r="B12" s="10">
        <v>0</v>
      </c>
      <c r="C12" s="3"/>
      <c r="D12" s="22"/>
      <c r="E12" s="55">
        <f t="shared" ref="E12:E22" si="0">IF(B12=0,$F$3,(1+$F$2)*E11+D12)</f>
        <v>-200</v>
      </c>
      <c r="F12" s="6">
        <f>IF(B12=$C$7,E12*$F$4,0)</f>
        <v>0</v>
      </c>
      <c r="G12" s="36">
        <f>IF(B12=0,-'Option 3.b - Start up'!$C$2,0)</f>
        <v>-1200</v>
      </c>
      <c r="H12" s="36">
        <v>0</v>
      </c>
      <c r="I12" s="36">
        <f>IF(B12='Option 3.b - Start up'!$C$7,'Option 3.b - Start up'!$C$3*'Option 3.b - Start up'!F12,0)</f>
        <v>0</v>
      </c>
      <c r="J12" s="36">
        <f>SUM(G12:I12)</f>
        <v>-1200</v>
      </c>
    </row>
    <row r="13" spans="2:11" ht="15" customHeight="1" x14ac:dyDescent="0.35">
      <c r="B13" s="10">
        <v>1</v>
      </c>
      <c r="C13" s="3">
        <f>'Inputs and assumptions'!C19</f>
        <v>700</v>
      </c>
      <c r="D13" s="56">
        <f>C13*'Inputs and assumptions'!I36</f>
        <v>-105</v>
      </c>
      <c r="E13" s="55">
        <f t="shared" si="0"/>
        <v>-319</v>
      </c>
      <c r="F13" s="6">
        <f t="shared" ref="F13:F22" si="1">IF(B13=$C$7,E13*$F$4,0)</f>
        <v>0</v>
      </c>
      <c r="G13" s="36">
        <f>IF(B13=0,-'Option 3.b - Start up'!$C$2,0)</f>
        <v>0</v>
      </c>
      <c r="H13" s="36">
        <v>0</v>
      </c>
      <c r="I13" s="36">
        <f>IF(B13='Option 3.b - Start up'!$C$7,'Option 3.b - Start up'!$C$3*'Option 3.b - Start up'!F13,0)</f>
        <v>0</v>
      </c>
      <c r="J13" s="36">
        <f t="shared" ref="J13:J22" si="2">SUM(G13:I13)</f>
        <v>0</v>
      </c>
      <c r="K13" s="51"/>
    </row>
    <row r="14" spans="2:11" ht="15" customHeight="1" x14ac:dyDescent="0.35">
      <c r="B14" s="10">
        <v>2</v>
      </c>
      <c r="C14" s="3">
        <f>'Inputs and assumptions'!C20</f>
        <v>952</v>
      </c>
      <c r="D14" s="56">
        <f>C14*'Inputs and assumptions'!I37</f>
        <v>-95.2</v>
      </c>
      <c r="E14" s="55">
        <f t="shared" si="0"/>
        <v>-436.53000000000003</v>
      </c>
      <c r="F14" s="6">
        <f t="shared" si="1"/>
        <v>0</v>
      </c>
      <c r="G14" s="36">
        <f>IF(B14=0,-'Option 3.b - Start up'!$C$2,0)</f>
        <v>0</v>
      </c>
      <c r="H14" s="36">
        <v>0</v>
      </c>
      <c r="I14" s="36">
        <f>IF(B14='Option 3.b - Start up'!$C$7,'Option 3.b - Start up'!$C$3*'Option 3.b - Start up'!F14,0)</f>
        <v>0</v>
      </c>
      <c r="J14" s="36">
        <f t="shared" si="2"/>
        <v>0</v>
      </c>
      <c r="K14" s="51"/>
    </row>
    <row r="15" spans="2:11" ht="15" customHeight="1" x14ac:dyDescent="0.35">
      <c r="B15" s="10">
        <v>3</v>
      </c>
      <c r="C15" s="3">
        <f>'Inputs and assumptions'!C21</f>
        <v>1238</v>
      </c>
      <c r="D15" s="56">
        <f>C15*'Inputs and assumptions'!I38</f>
        <v>-61.900000000000006</v>
      </c>
      <c r="E15" s="55">
        <f t="shared" si="0"/>
        <v>-528.98710000000005</v>
      </c>
      <c r="F15" s="6">
        <f t="shared" si="1"/>
        <v>0</v>
      </c>
      <c r="G15" s="36">
        <f>IF(B15=0,-'Option 3.b - Start up'!$C$2,0)</f>
        <v>0</v>
      </c>
      <c r="H15" s="36">
        <v>0</v>
      </c>
      <c r="I15" s="36">
        <f>IF(B15='Option 3.b - Start up'!$C$7,'Option 3.b - Start up'!$C$3*'Option 3.b - Start up'!F15,0)</f>
        <v>0</v>
      </c>
      <c r="J15" s="36">
        <f t="shared" si="2"/>
        <v>0</v>
      </c>
      <c r="K15" s="51"/>
    </row>
    <row r="16" spans="2:11" ht="15" customHeight="1" x14ac:dyDescent="0.35">
      <c r="B16" s="10">
        <v>4</v>
      </c>
      <c r="C16" s="3">
        <f>'Inputs and assumptions'!C22</f>
        <v>1572</v>
      </c>
      <c r="D16" s="56">
        <f>C16*'Inputs and assumptions'!I39</f>
        <v>-47.16</v>
      </c>
      <c r="E16" s="55">
        <f t="shared" si="0"/>
        <v>-613.17619700000012</v>
      </c>
      <c r="F16" s="6">
        <f t="shared" si="1"/>
        <v>0</v>
      </c>
      <c r="G16" s="36">
        <f>IF(B16=0,-'Option 3.b - Start up'!$C$2,0)</f>
        <v>0</v>
      </c>
      <c r="H16" s="36">
        <v>0</v>
      </c>
      <c r="I16" s="36">
        <f>IF(B16='Option 3.b - Start up'!$C$7,'Option 3.b - Start up'!$C$3*'Option 3.b - Start up'!F16,0)</f>
        <v>0</v>
      </c>
      <c r="J16" s="36">
        <f t="shared" si="2"/>
        <v>0</v>
      </c>
      <c r="K16" s="51"/>
    </row>
    <row r="17" spans="2:11" ht="15" customHeight="1" x14ac:dyDescent="0.35">
      <c r="B17" s="10">
        <v>5</v>
      </c>
      <c r="C17" s="3">
        <f>'Inputs and assumptions'!C23</f>
        <v>1949</v>
      </c>
      <c r="D17" s="56">
        <f>C17*'Inputs and assumptions'!I40</f>
        <v>-19.490000000000002</v>
      </c>
      <c r="E17" s="55">
        <f t="shared" si="0"/>
        <v>-675.58853079000016</v>
      </c>
      <c r="F17" s="6">
        <f t="shared" si="1"/>
        <v>0</v>
      </c>
      <c r="G17" s="36">
        <f>IF(B17=0,-'Option 3.b - Start up'!$C$2,0)</f>
        <v>0</v>
      </c>
      <c r="H17" s="36">
        <v>0</v>
      </c>
      <c r="I17" s="36">
        <f>IF(B17='Option 3.b - Start up'!$C$7,'Option 3.b - Start up'!$C$3*'Option 3.b - Start up'!F17,0)</f>
        <v>0</v>
      </c>
      <c r="J17" s="36">
        <f t="shared" si="2"/>
        <v>0</v>
      </c>
      <c r="K17" s="51"/>
    </row>
    <row r="18" spans="2:11" ht="15" customHeight="1" x14ac:dyDescent="0.35">
      <c r="B18" s="10">
        <v>6</v>
      </c>
      <c r="C18" s="3">
        <f>'Inputs and assumptions'!C24</f>
        <v>2378</v>
      </c>
      <c r="D18" s="56">
        <f>C18*'Inputs and assumptions'!I41</f>
        <v>95.12</v>
      </c>
      <c r="E18" s="55">
        <f t="shared" si="0"/>
        <v>-627.75972794530026</v>
      </c>
      <c r="F18" s="6">
        <f t="shared" si="1"/>
        <v>0</v>
      </c>
      <c r="G18" s="36">
        <f>IF(B18=0,-'Option 3.b - Start up'!$C$2,0)</f>
        <v>0</v>
      </c>
      <c r="H18" s="36">
        <v>0</v>
      </c>
      <c r="I18" s="36">
        <f>IF(B18='Option 3.b - Start up'!$C$7,'Option 3.b - Start up'!$C$3*'Option 3.b - Start up'!F18,0)</f>
        <v>0</v>
      </c>
      <c r="J18" s="36">
        <f t="shared" si="2"/>
        <v>0</v>
      </c>
      <c r="K18" s="51"/>
    </row>
    <row r="19" spans="2:11" ht="15" customHeight="1" x14ac:dyDescent="0.35">
      <c r="B19" s="10">
        <v>7</v>
      </c>
      <c r="C19" s="3">
        <f>'Inputs and assumptions'!C25</f>
        <v>2877</v>
      </c>
      <c r="D19" s="56">
        <f>C19*'Inputs and assumptions'!I42</f>
        <v>201.39000000000001</v>
      </c>
      <c r="E19" s="55">
        <f t="shared" si="0"/>
        <v>-470.31290890147136</v>
      </c>
      <c r="F19" s="6">
        <f t="shared" si="1"/>
        <v>0</v>
      </c>
      <c r="G19" s="36">
        <f>IF(B19=0,-'Option 3.b - Start up'!$C$2,0)</f>
        <v>0</v>
      </c>
      <c r="H19" s="36">
        <v>0</v>
      </c>
      <c r="I19" s="36">
        <f>IF(B19='Option 3.b - Start up'!$C$7,'Option 3.b - Start up'!$C$3*'Option 3.b - Start up'!F19,0)</f>
        <v>0</v>
      </c>
      <c r="J19" s="36">
        <f t="shared" si="2"/>
        <v>0</v>
      </c>
      <c r="K19" s="51"/>
    </row>
    <row r="20" spans="2:11" ht="15" customHeight="1" x14ac:dyDescent="0.35">
      <c r="B20" s="10">
        <v>8</v>
      </c>
      <c r="C20" s="3">
        <f>'Inputs and assumptions'!C26</f>
        <v>3452</v>
      </c>
      <c r="D20" s="56">
        <f>C20*'Inputs and assumptions'!I43</f>
        <v>310.68</v>
      </c>
      <c r="E20" s="55">
        <f t="shared" si="0"/>
        <v>-192.5548125245744</v>
      </c>
      <c r="F20" s="6">
        <f t="shared" si="1"/>
        <v>0</v>
      </c>
      <c r="G20" s="36">
        <f>IF(B20=0,-'Option 3.b - Start up'!$C$2,0)</f>
        <v>0</v>
      </c>
      <c r="H20" s="36">
        <v>0</v>
      </c>
      <c r="I20" s="36">
        <f>IF(B20='Option 3.b - Start up'!$C$7,'Option 3.b - Start up'!$C$3*'Option 3.b - Start up'!F20,0)</f>
        <v>0</v>
      </c>
      <c r="J20" s="36">
        <f t="shared" si="2"/>
        <v>0</v>
      </c>
      <c r="K20" s="51"/>
    </row>
    <row r="21" spans="2:11" ht="15" customHeight="1" x14ac:dyDescent="0.35">
      <c r="B21" s="10">
        <v>9</v>
      </c>
      <c r="C21" s="3">
        <f>'Inputs and assumptions'!C27</f>
        <v>4142</v>
      </c>
      <c r="D21" s="56">
        <f>C21*'Inputs and assumptions'!I44</f>
        <v>497.03999999999996</v>
      </c>
      <c r="E21" s="55">
        <f t="shared" si="0"/>
        <v>291.00635059870535</v>
      </c>
      <c r="F21" s="6">
        <f t="shared" si="1"/>
        <v>0</v>
      </c>
      <c r="G21" s="36">
        <f>IF(B21=0,-'Option 3.b - Start up'!$C$2,0)</f>
        <v>0</v>
      </c>
      <c r="H21" s="36">
        <v>0</v>
      </c>
      <c r="I21" s="36">
        <f>IF(B21='Option 3.b - Start up'!$C$7,'Option 3.b - Start up'!$C$3*'Option 3.b - Start up'!F21,0)</f>
        <v>0</v>
      </c>
      <c r="J21" s="36">
        <f t="shared" si="2"/>
        <v>0</v>
      </c>
      <c r="K21" s="51"/>
    </row>
    <row r="22" spans="2:11" ht="15" customHeight="1" x14ac:dyDescent="0.35">
      <c r="B22" s="10">
        <v>10</v>
      </c>
      <c r="C22" s="3">
        <f>'Inputs and assumptions'!C28</f>
        <v>4970</v>
      </c>
      <c r="D22" s="56">
        <f>C22*'Inputs and assumptions'!I45</f>
        <v>646.1</v>
      </c>
      <c r="E22" s="55">
        <f t="shared" si="0"/>
        <v>957.47679514061474</v>
      </c>
      <c r="F22" s="6">
        <f t="shared" si="1"/>
        <v>9574.7679514061474</v>
      </c>
      <c r="G22" s="36">
        <f>IF(B22=0,-'Option 3.b - Start up'!$C$2,0)</f>
        <v>0</v>
      </c>
      <c r="H22" s="36">
        <v>0</v>
      </c>
      <c r="I22" s="36">
        <f>IF(B22='Option 3.b - Start up'!$C$7,'Option 3.b - Start up'!$C$3*'Option 3.b - Start up'!F22,0)</f>
        <v>4595.8886166749508</v>
      </c>
      <c r="J22" s="36">
        <f t="shared" si="2"/>
        <v>4595.8886166749508</v>
      </c>
      <c r="K22" s="51"/>
    </row>
    <row r="25" spans="2:11" ht="15" customHeight="1" x14ac:dyDescent="0.35">
      <c r="B25" s="22" t="s">
        <v>7</v>
      </c>
      <c r="C25" s="40">
        <f>IRR(J12:J22)</f>
        <v>0.1437176542904226</v>
      </c>
    </row>
    <row r="26" spans="2:11" ht="15" customHeight="1" x14ac:dyDescent="0.35">
      <c r="B26" s="22" t="s">
        <v>9</v>
      </c>
      <c r="C26" s="41">
        <f>SUM(H12:I22)/ABS(SUM(G12:G22))</f>
        <v>3.8299071805624592</v>
      </c>
    </row>
  </sheetData>
  <mergeCells count="1">
    <mergeCell ref="C10:G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53CCE-2639-4CCB-A483-31211E56B639}">
  <dimension ref="B4:H25"/>
  <sheetViews>
    <sheetView showGridLines="0" zoomScale="60" zoomScaleNormal="60" workbookViewId="0">
      <selection activeCell="E18" sqref="E18:F18"/>
    </sheetView>
  </sheetViews>
  <sheetFormatPr defaultRowHeight="15" customHeight="1" x14ac:dyDescent="0.35"/>
  <cols>
    <col min="1" max="1" width="0.81640625" customWidth="1"/>
    <col min="2" max="2" width="9.7265625" customWidth="1"/>
    <col min="3" max="8" width="10.54296875" bestFit="1" customWidth="1"/>
  </cols>
  <sheetData>
    <row r="4" spans="2:8" ht="15" customHeight="1" x14ac:dyDescent="0.35">
      <c r="B4" s="5" t="s">
        <v>33</v>
      </c>
    </row>
    <row r="5" spans="2:8" ht="15" customHeight="1" x14ac:dyDescent="0.35">
      <c r="B5" s="15" t="s">
        <v>18</v>
      </c>
      <c r="C5" s="15" t="s">
        <v>45</v>
      </c>
      <c r="D5" s="15" t="s">
        <v>46</v>
      </c>
      <c r="E5" s="15" t="s">
        <v>47</v>
      </c>
      <c r="F5" s="15" t="s">
        <v>48</v>
      </c>
      <c r="G5" s="15" t="s">
        <v>49</v>
      </c>
      <c r="H5" s="15" t="s">
        <v>50</v>
      </c>
    </row>
    <row r="6" spans="2:8" ht="15" customHeight="1" x14ac:dyDescent="0.35">
      <c r="B6" s="9">
        <f>'Option 1 - Manufacturing'!B12</f>
        <v>0</v>
      </c>
      <c r="C6" s="2">
        <f>'Option 1 - Manufacturing'!G12</f>
        <v>-1200</v>
      </c>
      <c r="D6" s="2">
        <f>'Option 1.b - Manufacturing'!L12</f>
        <v>-1200</v>
      </c>
      <c r="E6" s="2">
        <f>'Option 2 - Highway'!G12</f>
        <v>-1575</v>
      </c>
      <c r="F6" s="2">
        <f>'Option 2.b - Highway'!G12</f>
        <v>-1575</v>
      </c>
      <c r="G6" s="2">
        <f>'Option 3 - Start up'!H12</f>
        <v>-1200</v>
      </c>
      <c r="H6" s="2">
        <f>'Option 3.b - Start up'!J12</f>
        <v>-1200</v>
      </c>
    </row>
    <row r="7" spans="2:8" ht="15" customHeight="1" x14ac:dyDescent="0.35">
      <c r="B7" s="9">
        <f>'Option 1 - Manufacturing'!B13</f>
        <v>1</v>
      </c>
      <c r="C7" s="2">
        <f>'Option 1 - Manufacturing'!G13</f>
        <v>0</v>
      </c>
      <c r="D7" s="2">
        <f>'Option 1.b - Manufacturing'!L13</f>
        <v>143.00000000000003</v>
      </c>
      <c r="E7" s="2">
        <f>'Option 2 - Highway'!G13</f>
        <v>141.75</v>
      </c>
      <c r="F7" s="2">
        <f>'Option 2.b - Highway'!G13</f>
        <v>141.75</v>
      </c>
      <c r="G7" s="2">
        <f>'Option 3 - Start up'!H13</f>
        <v>0</v>
      </c>
      <c r="H7" s="2">
        <f>'Option 3.b - Start up'!J13</f>
        <v>0</v>
      </c>
    </row>
    <row r="8" spans="2:8" ht="15" customHeight="1" x14ac:dyDescent="0.35">
      <c r="B8" s="9">
        <f>'Option 1 - Manufacturing'!B14</f>
        <v>2</v>
      </c>
      <c r="C8" s="2">
        <f>'Option 1 - Manufacturing'!G14</f>
        <v>0</v>
      </c>
      <c r="D8" s="2">
        <f>'Option 1.b - Manufacturing'!L14</f>
        <v>157.30000000000007</v>
      </c>
      <c r="E8" s="2">
        <f>'Option 2 - Highway'!G14</f>
        <v>141.75</v>
      </c>
      <c r="F8" s="2">
        <f>'Option 2.b - Highway'!G14</f>
        <v>141.75</v>
      </c>
      <c r="G8" s="2">
        <f>'Option 3 - Start up'!H14</f>
        <v>0</v>
      </c>
      <c r="H8" s="2">
        <f>'Option 3.b - Start up'!J14</f>
        <v>0</v>
      </c>
    </row>
    <row r="9" spans="2:8" ht="15" customHeight="1" x14ac:dyDescent="0.35">
      <c r="B9" s="9">
        <f>'Option 1 - Manufacturing'!B15</f>
        <v>3</v>
      </c>
      <c r="C9" s="2">
        <f>'Option 1 - Manufacturing'!G15</f>
        <v>0</v>
      </c>
      <c r="D9" s="2">
        <f>'Option 1.b - Manufacturing'!L15</f>
        <v>173.03000000000009</v>
      </c>
      <c r="E9" s="2">
        <f>'Option 2 - Highway'!G15</f>
        <v>141.75</v>
      </c>
      <c r="F9" s="2">
        <f>'Option 2.b - Highway'!G15</f>
        <v>141.75</v>
      </c>
      <c r="G9" s="2">
        <f>'Option 3 - Start up'!H15</f>
        <v>0</v>
      </c>
      <c r="H9" s="2">
        <f>'Option 3.b - Start up'!J15</f>
        <v>0</v>
      </c>
    </row>
    <row r="10" spans="2:8" ht="15" customHeight="1" x14ac:dyDescent="0.35">
      <c r="B10" s="9">
        <f>'Option 1 - Manufacturing'!B16</f>
        <v>4</v>
      </c>
      <c r="C10" s="2">
        <f>'Option 1 - Manufacturing'!G16</f>
        <v>0</v>
      </c>
      <c r="D10" s="2">
        <f>'Option 1.b - Manufacturing'!L16</f>
        <v>190.33300000000008</v>
      </c>
      <c r="E10" s="2">
        <f>'Option 2 - Highway'!G16</f>
        <v>141.75</v>
      </c>
      <c r="F10" s="2">
        <f>'Option 2.b - Highway'!G16</f>
        <v>141.75</v>
      </c>
      <c r="G10" s="2">
        <f>'Option 3 - Start up'!H16</f>
        <v>0</v>
      </c>
      <c r="H10" s="2">
        <f>'Option 3.b - Start up'!J16</f>
        <v>0</v>
      </c>
    </row>
    <row r="11" spans="2:8" ht="15" customHeight="1" x14ac:dyDescent="0.35">
      <c r="B11" s="9">
        <f>'Option 1 - Manufacturing'!B17</f>
        <v>5</v>
      </c>
      <c r="C11" s="2">
        <f>'Option 1 - Manufacturing'!G17</f>
        <v>965.45144999999957</v>
      </c>
      <c r="D11" s="2">
        <f>'Option 1.b - Manufacturing'!L17</f>
        <v>692.09202499999992</v>
      </c>
      <c r="E11" s="2">
        <f>'Option 2 - Highway'!G17</f>
        <v>141.75</v>
      </c>
      <c r="F11" s="2">
        <f>'Option 2.b - Highway'!G17</f>
        <v>1156.3713000000005</v>
      </c>
      <c r="G11" s="2">
        <f>'Option 3 - Start up'!H17</f>
        <v>0</v>
      </c>
      <c r="H11" s="2">
        <f>'Option 3.b - Start up'!J17</f>
        <v>0</v>
      </c>
    </row>
    <row r="12" spans="2:8" ht="15" customHeight="1" x14ac:dyDescent="0.35">
      <c r="B12" s="9">
        <f>'Option 1 - Manufacturing'!B18</f>
        <v>6</v>
      </c>
      <c r="C12" s="2">
        <f>'Option 1 - Manufacturing'!G18</f>
        <v>0</v>
      </c>
      <c r="D12" s="2">
        <f>'Option 1.b - Manufacturing'!L18</f>
        <v>224.02194100000011</v>
      </c>
      <c r="E12" s="2">
        <f>'Option 2 - Highway'!G18</f>
        <v>141.75</v>
      </c>
      <c r="F12" s="2">
        <f>'Option 2.b - Highway'!G18</f>
        <v>85.05</v>
      </c>
      <c r="G12" s="2">
        <f>'Option 3 - Start up'!H18</f>
        <v>0</v>
      </c>
      <c r="H12" s="2">
        <f>'Option 3.b - Start up'!J18</f>
        <v>0</v>
      </c>
    </row>
    <row r="13" spans="2:8" ht="15" customHeight="1" x14ac:dyDescent="0.35">
      <c r="B13" s="9">
        <f>'Option 1 - Manufacturing'!B19</f>
        <v>7</v>
      </c>
      <c r="C13" s="2">
        <f>'Option 1 - Manufacturing'!G19</f>
        <v>0</v>
      </c>
      <c r="D13" s="2">
        <f>'Option 1.b - Manufacturing'!L19</f>
        <v>102.94875899999943</v>
      </c>
      <c r="E13" s="2">
        <f>'Option 2 - Highway'!G19</f>
        <v>141.75</v>
      </c>
      <c r="F13" s="2">
        <f>'Option 2.b - Highway'!G19</f>
        <v>85.05</v>
      </c>
      <c r="G13" s="2">
        <f>'Option 3 - Start up'!H19</f>
        <v>0</v>
      </c>
      <c r="H13" s="2">
        <f>'Option 3.b - Start up'!J19</f>
        <v>0</v>
      </c>
    </row>
    <row r="14" spans="2:8" ht="15" customHeight="1" x14ac:dyDescent="0.35">
      <c r="B14" s="9">
        <f>'Option 1 - Manufacturing'!B20</f>
        <v>8</v>
      </c>
      <c r="C14" s="2">
        <f>'Option 1 - Manufacturing'!G20</f>
        <v>0</v>
      </c>
      <c r="D14" s="2">
        <f>'Option 1.b - Manufacturing'!L20</f>
        <v>0</v>
      </c>
      <c r="E14" s="2">
        <f>'Option 2 - Highway'!G20</f>
        <v>141.75</v>
      </c>
      <c r="F14" s="2">
        <f>'Option 2.b - Highway'!G20</f>
        <v>85.05</v>
      </c>
      <c r="G14" s="2">
        <f>'Option 3 - Start up'!H20</f>
        <v>0</v>
      </c>
      <c r="H14" s="2">
        <f>'Option 3.b - Start up'!J20</f>
        <v>0</v>
      </c>
    </row>
    <row r="15" spans="2:8" ht="15" customHeight="1" x14ac:dyDescent="0.35">
      <c r="B15" s="9">
        <f>'Option 1 - Manufacturing'!B21</f>
        <v>9</v>
      </c>
      <c r="C15" s="2">
        <f>'Option 1 - Manufacturing'!G21</f>
        <v>0</v>
      </c>
      <c r="D15" s="2">
        <f>'Option 1.b - Manufacturing'!L21</f>
        <v>0</v>
      </c>
      <c r="E15" s="2">
        <f>'Option 2 - Highway'!G21</f>
        <v>141.75</v>
      </c>
      <c r="F15" s="2">
        <f>'Option 2.b - Highway'!G21</f>
        <v>85.05</v>
      </c>
      <c r="G15" s="2">
        <f>'Option 3 - Start up'!H21</f>
        <v>0</v>
      </c>
      <c r="H15" s="2">
        <f>'Option 3.b - Start up'!J21</f>
        <v>0</v>
      </c>
    </row>
    <row r="16" spans="2:8" ht="15" customHeight="1" x14ac:dyDescent="0.35">
      <c r="B16" s="9">
        <f>'Option 1 - Manufacturing'!B22</f>
        <v>10</v>
      </c>
      <c r="C16" s="2">
        <f>'Option 1 - Manufacturing'!G22</f>
        <v>2912.8015697096926</v>
      </c>
      <c r="D16" s="2">
        <f>'Option 1.b - Manufacturing'!L22</f>
        <v>1456.4007848548463</v>
      </c>
      <c r="E16" s="2">
        <f>'Option 2 - Highway'!G22</f>
        <v>4226.8943746575032</v>
      </c>
      <c r="F16" s="2">
        <f>'Option 2.b - Highway'!G22</f>
        <v>2536.136624794502</v>
      </c>
      <c r="G16" s="2">
        <f>'Option 3 - Start up'!H22</f>
        <v>5964</v>
      </c>
      <c r="H16" s="2">
        <f>'Option 3.b - Start up'!J22</f>
        <v>4595.8886166749508</v>
      </c>
    </row>
    <row r="18" spans="2:8" ht="15" customHeight="1" x14ac:dyDescent="0.35">
      <c r="B18" s="15" t="s">
        <v>44</v>
      </c>
      <c r="C18" s="83">
        <f>'Option 1 - Manufacturing'!C25</f>
        <v>0.14999999999999991</v>
      </c>
      <c r="D18" s="83">
        <f>'Option 1.b - Manufacturing'!C25</f>
        <v>0.16766797564808833</v>
      </c>
      <c r="E18" s="83">
        <f>'Option 2 - Highway'!C25</f>
        <v>0.1634832891541762</v>
      </c>
      <c r="F18" s="83">
        <f>'Option 2.b - Highway'!C25</f>
        <v>0.16702091419423026</v>
      </c>
      <c r="G18" s="83">
        <f>'Option 3 - Start up'!C25</f>
        <v>0.17391226157666018</v>
      </c>
      <c r="H18" s="83">
        <f>'Option 3.b - Start up'!C25</f>
        <v>0.1437176542904226</v>
      </c>
    </row>
    <row r="19" spans="2:8" ht="15" customHeight="1" x14ac:dyDescent="0.35">
      <c r="B19" s="15" t="s">
        <v>9</v>
      </c>
      <c r="C19" s="7">
        <f>'Option 1 - Manufacturing'!C26</f>
        <v>3.2318775164247433</v>
      </c>
      <c r="D19" s="7">
        <f>'Option 1.b - Manufacturing'!C26</f>
        <v>2.6159387582123719</v>
      </c>
      <c r="E19" s="7">
        <f>'Option 2 - Highway'!C26</f>
        <v>3.4937424601000022</v>
      </c>
      <c r="F19" s="7">
        <f>'Option 2.b - Highway'!C26</f>
        <v>2.9204494760600013</v>
      </c>
      <c r="G19" s="7">
        <f>'Option 3 - Start up'!C26</f>
        <v>4.97</v>
      </c>
      <c r="H19" s="7">
        <f>'Option 3.b - Start up'!C26</f>
        <v>3.8299071805624592</v>
      </c>
    </row>
    <row r="24" spans="2:8" ht="15" customHeight="1" x14ac:dyDescent="0.35">
      <c r="C24" s="70"/>
      <c r="D24" s="70"/>
    </row>
    <row r="25" spans="2:8" ht="15" customHeight="1" x14ac:dyDescent="0.35">
      <c r="C25" s="51"/>
      <c r="D25" s="5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74D6C390916B4A8494C33A5D3CA82B" ma:contentTypeVersion="18" ma:contentTypeDescription="Create a new document." ma:contentTypeScope="" ma:versionID="061ed7418ccd0ab96bbd5383361f11e3">
  <xsd:schema xmlns:xsd="http://www.w3.org/2001/XMLSchema" xmlns:xs="http://www.w3.org/2001/XMLSchema" xmlns:p="http://schemas.microsoft.com/office/2006/metadata/properties" xmlns:ns1="http://schemas.microsoft.com/sharepoint/v3" xmlns:ns2="307a12b3-3a39-4e5f-afa6-4629bb16037e" xmlns:ns3="1f0d55de-41a8-442a-939a-8c7a93a15acc" targetNamespace="http://schemas.microsoft.com/office/2006/metadata/properties" ma:root="true" ma:fieldsID="d0fab99a09af8f4f7597e523ca27625f" ns1:_="" ns2:_="" ns3:_="">
    <xsd:import namespace="http://schemas.microsoft.com/sharepoint/v3"/>
    <xsd:import namespace="307a12b3-3a39-4e5f-afa6-4629bb16037e"/>
    <xsd:import namespace="1f0d55de-41a8-442a-939a-8c7a93a15ac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a12b3-3a39-4e5f-afa6-4629bb1603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790f828-4d96-4d10-bc53-6c3febba0be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0d55de-41a8-442a-939a-8c7a93a15a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38ea2c-1d97-4ed9-8a85-6ab57bb76901}" ma:internalName="TaxCatchAll" ma:showField="CatchAllData" ma:web="1f0d55de-41a8-442a-939a-8c7a93a15ac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7a12b3-3a39-4e5f-afa6-4629bb16037e">
      <Terms xmlns="http://schemas.microsoft.com/office/infopath/2007/PartnerControls"/>
    </lcf76f155ced4ddcb4097134ff3c332f>
    <_ip_UnifiedCompliancePolicyUIAction xmlns="http://schemas.microsoft.com/sharepoint/v3" xsi:nil="true"/>
    <TaxCatchAll xmlns="1f0d55de-41a8-442a-939a-8c7a93a15acc"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CFBC149-F619-4139-A6A7-904BC28F637A}"/>
</file>

<file path=customXml/itemProps2.xml><?xml version="1.0" encoding="utf-8"?>
<ds:datastoreItem xmlns:ds="http://schemas.openxmlformats.org/officeDocument/2006/customXml" ds:itemID="{AA4CF00E-68CF-4770-845F-FFD94B7C6CB4}">
  <ds:schemaRefs>
    <ds:schemaRef ds:uri="http://schemas.microsoft.com/sharepoint/v3/contenttype/forms"/>
  </ds:schemaRefs>
</ds:datastoreItem>
</file>

<file path=customXml/itemProps3.xml><?xml version="1.0" encoding="utf-8"?>
<ds:datastoreItem xmlns:ds="http://schemas.openxmlformats.org/officeDocument/2006/customXml" ds:itemID="{81B0E082-148F-426C-A029-43BAE9B25047}">
  <ds:schemaRefs>
    <ds:schemaRef ds:uri="http://schemas.microsoft.com/office/2006/documentManagement/types"/>
    <ds:schemaRef ds:uri="http://purl.org/dc/terms/"/>
    <ds:schemaRef ds:uri="http://schemas.microsoft.com/sharepoint/v3"/>
    <ds:schemaRef ds:uri="http://purl.org/dc/dcmitype/"/>
    <ds:schemaRef ds:uri="http://purl.org/dc/elements/1.1/"/>
    <ds:schemaRef ds:uri="http://schemas.microsoft.com/office/infopath/2007/PartnerControls"/>
    <ds:schemaRef ds:uri="http://www.w3.org/XML/1998/namespace"/>
    <ds:schemaRef ds:uri="http://schemas.openxmlformats.org/package/2006/metadata/core-properties"/>
    <ds:schemaRef ds:uri="1f0d55de-41a8-442a-939a-8c7a93a15acc"/>
    <ds:schemaRef ds:uri="307a12b3-3a39-4e5f-afa6-4629bb16037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Inputs and assumptions</vt:lpstr>
      <vt:lpstr>Option 1 - Manufacturing</vt:lpstr>
      <vt:lpstr>Option 2 - Highway</vt:lpstr>
      <vt:lpstr>Option 3 - Start up</vt:lpstr>
      <vt:lpstr>Solution--&gt;</vt:lpstr>
      <vt:lpstr>Option 1.b - Manufacturing</vt:lpstr>
      <vt:lpstr>Option 2.b - Highway</vt:lpstr>
      <vt:lpstr>Option 3.b - Start up</vt:lpstr>
      <vt:lpstr>Results and Graphs</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Shristy Agarwal</dc:creator>
  <cp:lastModifiedBy>Shristy Agarwal</cp:lastModifiedBy>
  <dcterms:created xsi:type="dcterms:W3CDTF">2025-12-17T09:02:40Z</dcterms:created>
  <dcterms:modified xsi:type="dcterms:W3CDTF">2025-12-17T09:46:52Z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0x010100FE74D6C390916B4A8494C33A5D3CA82B</vt:lpwstr>
  </property>
  <property fmtid="{D5CDD505-2E9C-101B-9397-08002B2CF9AE}" pid="3" name="MediaServiceImageTags">
    <vt:lpwstr/>
  </property>
</Properties>
</file>