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JyotiShinde-SeniorMa\Desktop\Nov 25 Solutions\"/>
    </mc:Choice>
  </mc:AlternateContent>
  <xr:revisionPtr revIDLastSave="0" documentId="13_ncr:1_{1078B514-C8D8-4160-9D53-10F82B26A4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Q1 data " sheetId="26" r:id="rId1"/>
    <sheet name="Q1 a)" sheetId="27" r:id="rId2"/>
    <sheet name="Q1) b" sheetId="28" r:id="rId3"/>
    <sheet name="Q1 c)" sheetId="29" r:id="rId4"/>
    <sheet name="Q1 d)" sheetId="30" r:id="rId5"/>
    <sheet name="Q2 data" sheetId="3" r:id="rId6"/>
    <sheet name="Q2 a)" sheetId="10" r:id="rId7"/>
    <sheet name="Q2 b)" sheetId="11" r:id="rId8"/>
    <sheet name="Q2 c) " sheetId="23" r:id="rId9"/>
    <sheet name="Q2 d)" sheetId="21" r:id="rId10"/>
    <sheet name="Q2 b) alternate version(2)" sheetId="31" r:id="rId11"/>
    <sheet name="Q2 c) alternate version (2)" sheetId="32" r:id="rId12"/>
    <sheet name="Q2 d) alternate version (2)" sheetId="33" r:id="rId13"/>
    <sheet name="Q2 e)" sheetId="12" r:id="rId14"/>
    <sheet name="Q2 f)" sheetId="13" r:id="rId15"/>
    <sheet name="Q3 data " sheetId="4" r:id="rId16"/>
    <sheet name="Q3 a)" sheetId="15" r:id="rId17"/>
    <sheet name="Q3 b)" sheetId="16" r:id="rId18"/>
    <sheet name="Q3 c)" sheetId="17" r:id="rId19"/>
    <sheet name="Q4 data" sheetId="5" r:id="rId20"/>
    <sheet name="Q4 a and b)" sheetId="18" r:id="rId21"/>
  </sheets>
  <calcPr calcId="191029" iterateDelta="1E-4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2" l="1"/>
  <c r="G5" i="12"/>
  <c r="F4" i="12"/>
  <c r="F5" i="12"/>
  <c r="F6" i="12"/>
  <c r="E4" i="12"/>
  <c r="E5" i="12"/>
  <c r="E6" i="12"/>
  <c r="E7" i="12"/>
  <c r="D4" i="12"/>
  <c r="D5" i="12"/>
  <c r="D6" i="12"/>
  <c r="D7" i="12"/>
  <c r="D19" i="12" s="1"/>
  <c r="D8" i="12"/>
  <c r="C4" i="12"/>
  <c r="C5" i="12"/>
  <c r="C6" i="12"/>
  <c r="C7" i="12"/>
  <c r="C8" i="12"/>
  <c r="D20" i="12" s="1"/>
  <c r="C9" i="12"/>
  <c r="D3" i="12"/>
  <c r="E3" i="12"/>
  <c r="F3" i="12"/>
  <c r="G3" i="12"/>
  <c r="H3" i="12"/>
  <c r="C3" i="12"/>
  <c r="D10" i="21"/>
  <c r="D9" i="21"/>
  <c r="E9" i="21"/>
  <c r="D8" i="21"/>
  <c r="E8" i="21"/>
  <c r="F8" i="21"/>
  <c r="D7" i="21"/>
  <c r="E7" i="21"/>
  <c r="F7" i="21"/>
  <c r="G7" i="21"/>
  <c r="D6" i="21"/>
  <c r="E6" i="21"/>
  <c r="F6" i="21"/>
  <c r="G6" i="21"/>
  <c r="H6" i="21"/>
  <c r="C6" i="21"/>
  <c r="C7" i="21"/>
  <c r="C8" i="21"/>
  <c r="C9" i="21"/>
  <c r="C10" i="21"/>
  <c r="C11" i="21"/>
  <c r="D5" i="21"/>
  <c r="E5" i="21"/>
  <c r="F5" i="21"/>
  <c r="G5" i="21"/>
  <c r="H5" i="21"/>
  <c r="C5" i="21"/>
  <c r="D10" i="33"/>
  <c r="D9" i="33"/>
  <c r="E9" i="33"/>
  <c r="D8" i="33"/>
  <c r="E8" i="33"/>
  <c r="F8" i="33"/>
  <c r="D7" i="33"/>
  <c r="E7" i="33"/>
  <c r="F7" i="33"/>
  <c r="G12" i="33" s="1"/>
  <c r="G7" i="33"/>
  <c r="D6" i="33"/>
  <c r="E6" i="33"/>
  <c r="F6" i="33"/>
  <c r="G6" i="33"/>
  <c r="H6" i="33"/>
  <c r="C6" i="33"/>
  <c r="C7" i="33"/>
  <c r="C8" i="33"/>
  <c r="C9" i="33"/>
  <c r="C10" i="33"/>
  <c r="C11" i="33"/>
  <c r="D5" i="33"/>
  <c r="E5" i="33"/>
  <c r="F5" i="33"/>
  <c r="G5" i="33"/>
  <c r="H5" i="33"/>
  <c r="C5" i="33"/>
  <c r="E12" i="33"/>
  <c r="H12" i="33"/>
  <c r="D12" i="33"/>
  <c r="H6" i="32"/>
  <c r="G6" i="32"/>
  <c r="G7" i="32"/>
  <c r="F6" i="32"/>
  <c r="F7" i="32"/>
  <c r="F8" i="32"/>
  <c r="E6" i="32"/>
  <c r="E7" i="32"/>
  <c r="E8" i="32"/>
  <c r="E9" i="32"/>
  <c r="D6" i="32"/>
  <c r="D7" i="32"/>
  <c r="D8" i="32"/>
  <c r="D9" i="32"/>
  <c r="D10" i="32"/>
  <c r="C6" i="32"/>
  <c r="C7" i="32"/>
  <c r="C8" i="32"/>
  <c r="C9" i="32"/>
  <c r="C10" i="32"/>
  <c r="C11" i="32"/>
  <c r="D5" i="32"/>
  <c r="E5" i="32"/>
  <c r="F5" i="32"/>
  <c r="G5" i="32"/>
  <c r="H5" i="32"/>
  <c r="C5" i="32"/>
  <c r="M14" i="32"/>
  <c r="K14" i="32"/>
  <c r="L14" i="32" s="1"/>
  <c r="M13" i="32"/>
  <c r="K13" i="32"/>
  <c r="L13" i="32" s="1"/>
  <c r="M12" i="32"/>
  <c r="K12" i="32"/>
  <c r="M11" i="32"/>
  <c r="K11" i="32"/>
  <c r="L11" i="32" s="1"/>
  <c r="M10" i="32"/>
  <c r="K10" i="32"/>
  <c r="L10" i="32" s="1"/>
  <c r="M9" i="32"/>
  <c r="K9" i="32"/>
  <c r="L9" i="32" s="1"/>
  <c r="M8" i="32"/>
  <c r="K8" i="32"/>
  <c r="L8" i="32" s="1"/>
  <c r="M7" i="32"/>
  <c r="K7" i="32"/>
  <c r="L7" i="32" s="1"/>
  <c r="M6" i="32"/>
  <c r="K6" i="32"/>
  <c r="L6" i="32" s="1"/>
  <c r="C17" i="32"/>
  <c r="M5" i="32"/>
  <c r="K5" i="32"/>
  <c r="D16" i="32"/>
  <c r="C16" i="32"/>
  <c r="M4" i="32"/>
  <c r="K4" i="32"/>
  <c r="J4" i="32"/>
  <c r="M3" i="32"/>
  <c r="L3" i="32"/>
  <c r="K3" i="32"/>
  <c r="L4" i="32" s="1"/>
  <c r="H25" i="31"/>
  <c r="G25" i="31"/>
  <c r="G26" i="31"/>
  <c r="F25" i="31"/>
  <c r="F26" i="31"/>
  <c r="F27" i="31"/>
  <c r="E25" i="31"/>
  <c r="E26" i="31"/>
  <c r="E27" i="31"/>
  <c r="E28" i="31"/>
  <c r="D25" i="31"/>
  <c r="D26" i="31"/>
  <c r="D27" i="31"/>
  <c r="D28" i="31"/>
  <c r="D29" i="31"/>
  <c r="C25" i="31"/>
  <c r="C26" i="31"/>
  <c r="C27" i="31"/>
  <c r="C28" i="31"/>
  <c r="C29" i="31"/>
  <c r="C30" i="31"/>
  <c r="D24" i="31"/>
  <c r="E24" i="31"/>
  <c r="F24" i="31"/>
  <c r="G24" i="31"/>
  <c r="H24" i="31"/>
  <c r="C24" i="31"/>
  <c r="H19" i="31"/>
  <c r="D19" i="31"/>
  <c r="C19" i="31"/>
  <c r="H18" i="31"/>
  <c r="H17" i="31"/>
  <c r="H16" i="31"/>
  <c r="D16" i="31"/>
  <c r="C16" i="31"/>
  <c r="H15" i="31"/>
  <c r="G15" i="31"/>
  <c r="C15" i="31"/>
  <c r="M14" i="31"/>
  <c r="K14" i="31"/>
  <c r="D14" i="31"/>
  <c r="C14" i="31"/>
  <c r="M13" i="31"/>
  <c r="L13" i="31"/>
  <c r="K13" i="31"/>
  <c r="M12" i="31"/>
  <c r="L12" i="31"/>
  <c r="K12" i="31"/>
  <c r="M11" i="31"/>
  <c r="K11" i="31"/>
  <c r="L11" i="31" s="1"/>
  <c r="M10" i="31"/>
  <c r="K10" i="31"/>
  <c r="L10" i="31" s="1"/>
  <c r="C10" i="31"/>
  <c r="C20" i="31" s="1"/>
  <c r="M9" i="31"/>
  <c r="K9" i="31"/>
  <c r="L9" i="31" s="1"/>
  <c r="H9" i="31"/>
  <c r="D9" i="31"/>
  <c r="C9" i="31"/>
  <c r="M8" i="31"/>
  <c r="K8" i="31"/>
  <c r="H8" i="31"/>
  <c r="E8" i="31"/>
  <c r="E18" i="31" s="1"/>
  <c r="D8" i="31"/>
  <c r="D18" i="31" s="1"/>
  <c r="C8" i="31"/>
  <c r="C18" i="31" s="1"/>
  <c r="M7" i="31"/>
  <c r="K7" i="31"/>
  <c r="L7" i="31" s="1"/>
  <c r="H7" i="31"/>
  <c r="F7" i="31"/>
  <c r="F17" i="31" s="1"/>
  <c r="E7" i="31"/>
  <c r="E17" i="31" s="1"/>
  <c r="D7" i="31"/>
  <c r="D17" i="31" s="1"/>
  <c r="C7" i="31"/>
  <c r="C17" i="31" s="1"/>
  <c r="M6" i="31"/>
  <c r="K6" i="31"/>
  <c r="L6" i="31" s="1"/>
  <c r="H6" i="31"/>
  <c r="G6" i="31"/>
  <c r="G16" i="31" s="1"/>
  <c r="F6" i="31"/>
  <c r="F16" i="31" s="1"/>
  <c r="E6" i="31"/>
  <c r="E16" i="31" s="1"/>
  <c r="D6" i="31"/>
  <c r="C6" i="31"/>
  <c r="M5" i="31"/>
  <c r="L5" i="31"/>
  <c r="K5" i="31"/>
  <c r="H5" i="31"/>
  <c r="G5" i="31"/>
  <c r="F5" i="31"/>
  <c r="F15" i="31" s="1"/>
  <c r="E5" i="31"/>
  <c r="E15" i="31" s="1"/>
  <c r="D5" i="31"/>
  <c r="D15" i="31" s="1"/>
  <c r="C5" i="31"/>
  <c r="M4" i="31"/>
  <c r="K4" i="31"/>
  <c r="L4" i="31" s="1"/>
  <c r="J4" i="31"/>
  <c r="J5" i="31" s="1"/>
  <c r="H4" i="31"/>
  <c r="G4" i="31"/>
  <c r="H14" i="31" s="1"/>
  <c r="F4" i="31"/>
  <c r="F14" i="31" s="1"/>
  <c r="E4" i="31"/>
  <c r="E14" i="31" s="1"/>
  <c r="D4" i="31"/>
  <c r="C4" i="31"/>
  <c r="M3" i="31"/>
  <c r="K3" i="31"/>
  <c r="L14" i="31" s="1"/>
  <c r="C16" i="23"/>
  <c r="D21" i="23"/>
  <c r="D20" i="23"/>
  <c r="E20" i="23"/>
  <c r="D19" i="23"/>
  <c r="E19" i="23"/>
  <c r="F19" i="23"/>
  <c r="D18" i="23"/>
  <c r="E18" i="23"/>
  <c r="F18" i="23"/>
  <c r="G18" i="23"/>
  <c r="D17" i="23"/>
  <c r="E17" i="23"/>
  <c r="F17" i="23"/>
  <c r="G17" i="23"/>
  <c r="H17" i="23"/>
  <c r="D16" i="23"/>
  <c r="E16" i="23"/>
  <c r="F16" i="23"/>
  <c r="G16" i="23"/>
  <c r="H16" i="23"/>
  <c r="C17" i="23"/>
  <c r="C18" i="23"/>
  <c r="C19" i="23"/>
  <c r="C20" i="23"/>
  <c r="C21" i="23"/>
  <c r="C22" i="23"/>
  <c r="E18" i="12"/>
  <c r="H15" i="12"/>
  <c r="H15" i="11"/>
  <c r="G15" i="11"/>
  <c r="G16" i="11"/>
  <c r="F15" i="11"/>
  <c r="F16" i="11"/>
  <c r="F17" i="11"/>
  <c r="E15" i="11"/>
  <c r="E16" i="11"/>
  <c r="E17" i="11"/>
  <c r="E18" i="11"/>
  <c r="D15" i="11"/>
  <c r="D16" i="11"/>
  <c r="D17" i="11"/>
  <c r="D18" i="11"/>
  <c r="D19" i="11"/>
  <c r="C15" i="11"/>
  <c r="C16" i="11"/>
  <c r="C17" i="11"/>
  <c r="C18" i="11"/>
  <c r="C19" i="11"/>
  <c r="C20" i="11"/>
  <c r="E14" i="11"/>
  <c r="F14" i="11"/>
  <c r="G14" i="11"/>
  <c r="H14" i="11"/>
  <c r="D14" i="11"/>
  <c r="D13" i="30"/>
  <c r="C13" i="30"/>
  <c r="D12" i="30"/>
  <c r="C12" i="30"/>
  <c r="E12" i="30" s="1"/>
  <c r="D11" i="30"/>
  <c r="E11" i="30" s="1"/>
  <c r="C11" i="30"/>
  <c r="D10" i="30"/>
  <c r="C10" i="30"/>
  <c r="D9" i="30"/>
  <c r="C9" i="30"/>
  <c r="E2" i="29"/>
  <c r="E12" i="28"/>
  <c r="E13" i="28" s="1"/>
  <c r="E10" i="28"/>
  <c r="D10" i="28"/>
  <c r="C10" i="28"/>
  <c r="D9" i="28"/>
  <c r="E9" i="28" s="1"/>
  <c r="C9" i="28"/>
  <c r="D8" i="28"/>
  <c r="E8" i="28" s="1"/>
  <c r="C8" i="28"/>
  <c r="E7" i="28"/>
  <c r="D7" i="28"/>
  <c r="C7" i="28"/>
  <c r="D6" i="28"/>
  <c r="E6" i="28" s="1"/>
  <c r="E11" i="28" s="1"/>
  <c r="C6" i="28"/>
  <c r="F5" i="27"/>
  <c r="F4" i="27"/>
  <c r="E15" i="30" s="1"/>
  <c r="F3" i="27"/>
  <c r="C5" i="23"/>
  <c r="M14" i="23"/>
  <c r="K14" i="23"/>
  <c r="L14" i="23" s="1"/>
  <c r="M13" i="23"/>
  <c r="K13" i="23"/>
  <c r="L13" i="23" s="1"/>
  <c r="M12" i="23"/>
  <c r="K12" i="23"/>
  <c r="M11" i="23"/>
  <c r="K11" i="23"/>
  <c r="M10" i="23"/>
  <c r="K10" i="23"/>
  <c r="M9" i="23"/>
  <c r="K9" i="23"/>
  <c r="L9" i="23" s="1"/>
  <c r="M8" i="23"/>
  <c r="K8" i="23"/>
  <c r="M7" i="23"/>
  <c r="K7" i="23"/>
  <c r="L7" i="23" s="1"/>
  <c r="M6" i="23"/>
  <c r="K6" i="23"/>
  <c r="L6" i="23" s="1"/>
  <c r="M5" i="23"/>
  <c r="K5" i="23"/>
  <c r="M4" i="23"/>
  <c r="K4" i="23"/>
  <c r="J4" i="23"/>
  <c r="J5" i="23" s="1"/>
  <c r="M3" i="23"/>
  <c r="K3" i="23"/>
  <c r="L3" i="23" s="1"/>
  <c r="D5" i="18"/>
  <c r="D4" i="18"/>
  <c r="C5" i="18"/>
  <c r="C4" i="18"/>
  <c r="E6" i="16"/>
  <c r="E5" i="16"/>
  <c r="B7" i="15"/>
  <c r="B6" i="15"/>
  <c r="B5" i="15"/>
  <c r="B4" i="15"/>
  <c r="H16" i="12"/>
  <c r="G16" i="12"/>
  <c r="G17" i="12"/>
  <c r="F16" i="12"/>
  <c r="F17" i="12"/>
  <c r="F18" i="12"/>
  <c r="E16" i="12"/>
  <c r="E17" i="12"/>
  <c r="D16" i="12"/>
  <c r="D17" i="12"/>
  <c r="D18" i="12"/>
  <c r="E15" i="12"/>
  <c r="F15" i="12"/>
  <c r="G15" i="12"/>
  <c r="D15" i="12"/>
  <c r="M4" i="11"/>
  <c r="M5" i="11"/>
  <c r="M6" i="11"/>
  <c r="M7" i="11"/>
  <c r="M8" i="11"/>
  <c r="M9" i="11"/>
  <c r="M10" i="11"/>
  <c r="M11" i="11"/>
  <c r="M12" i="11"/>
  <c r="M13" i="11"/>
  <c r="M14" i="11"/>
  <c r="M3" i="11"/>
  <c r="J4" i="11"/>
  <c r="J5" i="11" s="1"/>
  <c r="J6" i="11" s="1"/>
  <c r="J7" i="11" s="1"/>
  <c r="J8" i="11" s="1"/>
  <c r="J9" i="11" s="1"/>
  <c r="J10" i="11" s="1"/>
  <c r="J11" i="11" s="1"/>
  <c r="J12" i="11" s="1"/>
  <c r="J13" i="11" s="1"/>
  <c r="J14" i="11" s="1"/>
  <c r="K4" i="11"/>
  <c r="K5" i="11"/>
  <c r="K6" i="11"/>
  <c r="K7" i="11"/>
  <c r="K8" i="11"/>
  <c r="K9" i="11"/>
  <c r="K10" i="11"/>
  <c r="K11" i="11"/>
  <c r="K12" i="11"/>
  <c r="K13" i="11"/>
  <c r="K14" i="11"/>
  <c r="K3" i="11"/>
  <c r="L3" i="11" s="1"/>
  <c r="H19" i="11"/>
  <c r="H18" i="11"/>
  <c r="H17" i="11"/>
  <c r="H16" i="11"/>
  <c r="G6" i="11"/>
  <c r="F6" i="11"/>
  <c r="F7" i="11"/>
  <c r="E6" i="11"/>
  <c r="E7" i="11"/>
  <c r="E8" i="11"/>
  <c r="D6" i="11"/>
  <c r="D7" i="11"/>
  <c r="D8" i="11"/>
  <c r="D9" i="11"/>
  <c r="D5" i="11"/>
  <c r="E5" i="11"/>
  <c r="F5" i="11"/>
  <c r="G5" i="11"/>
  <c r="H5" i="11"/>
  <c r="C5" i="11"/>
  <c r="C6" i="11"/>
  <c r="C7" i="11"/>
  <c r="C8" i="11"/>
  <c r="C9" i="11"/>
  <c r="C10" i="11"/>
  <c r="D4" i="11"/>
  <c r="E4" i="11"/>
  <c r="F4" i="11"/>
  <c r="G4" i="11"/>
  <c r="H4" i="11"/>
  <c r="C4" i="11"/>
  <c r="C14" i="11" s="1"/>
  <c r="C24" i="11" s="1"/>
  <c r="E8" i="10"/>
  <c r="F7" i="10"/>
  <c r="H6" i="10"/>
  <c r="G6" i="10"/>
  <c r="E5" i="10"/>
  <c r="H9" i="11"/>
  <c r="H8" i="11"/>
  <c r="H7" i="11"/>
  <c r="H6" i="11"/>
  <c r="F6" i="10"/>
  <c r="E6" i="10"/>
  <c r="E7" i="10"/>
  <c r="D6" i="10"/>
  <c r="D7" i="10"/>
  <c r="C6" i="10"/>
  <c r="C7" i="10"/>
  <c r="C8" i="10"/>
  <c r="C9" i="10"/>
  <c r="C10" i="10"/>
  <c r="G7" i="10"/>
  <c r="D5" i="10"/>
  <c r="F5" i="10"/>
  <c r="G5" i="10"/>
  <c r="H5" i="10"/>
  <c r="C5" i="10"/>
  <c r="E5" i="18"/>
  <c r="B5" i="18"/>
  <c r="E4" i="18"/>
  <c r="B4" i="18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E4" i="16" s="1"/>
  <c r="B4" i="16"/>
  <c r="E19" i="12" l="1"/>
  <c r="F12" i="33"/>
  <c r="D17" i="32"/>
  <c r="L5" i="32"/>
  <c r="J5" i="32"/>
  <c r="L12" i="32"/>
  <c r="J6" i="31"/>
  <c r="J7" i="31" s="1"/>
  <c r="J8" i="31" s="1"/>
  <c r="J9" i="31" s="1"/>
  <c r="J10" i="31" s="1"/>
  <c r="J11" i="31" s="1"/>
  <c r="J12" i="31" s="1"/>
  <c r="J13" i="31" s="1"/>
  <c r="J14" i="31" s="1"/>
  <c r="G14" i="31"/>
  <c r="L3" i="31"/>
  <c r="L8" i="31"/>
  <c r="E9" i="30"/>
  <c r="E13" i="30"/>
  <c r="E10" i="30"/>
  <c r="E14" i="30" s="1"/>
  <c r="E16" i="30" s="1"/>
  <c r="E23" i="12"/>
  <c r="L8" i="23"/>
  <c r="L11" i="23"/>
  <c r="L4" i="23"/>
  <c r="L12" i="23"/>
  <c r="L10" i="23"/>
  <c r="L5" i="23"/>
  <c r="J6" i="23"/>
  <c r="J7" i="23" s="1"/>
  <c r="J8" i="23" s="1"/>
  <c r="J9" i="23" s="1"/>
  <c r="J10" i="23" s="1"/>
  <c r="J11" i="23" s="1"/>
  <c r="J12" i="23" s="1"/>
  <c r="J13" i="23" s="1"/>
  <c r="J14" i="23" s="1"/>
  <c r="L14" i="11"/>
  <c r="L13" i="11"/>
  <c r="L12" i="11"/>
  <c r="L8" i="11"/>
  <c r="C29" i="11" s="1"/>
  <c r="C10" i="23" s="1"/>
  <c r="L7" i="11"/>
  <c r="C28" i="11" s="1"/>
  <c r="C9" i="23" s="1"/>
  <c r="L6" i="11"/>
  <c r="C27" i="11" s="1"/>
  <c r="C8" i="23" s="1"/>
  <c r="L5" i="11"/>
  <c r="C26" i="11" s="1"/>
  <c r="C7" i="23" s="1"/>
  <c r="L4" i="11"/>
  <c r="C25" i="11" s="1"/>
  <c r="C6" i="23" s="1"/>
  <c r="L11" i="11"/>
  <c r="L10" i="11"/>
  <c r="L9" i="11"/>
  <c r="C30" i="11" s="1"/>
  <c r="C11" i="23" s="1"/>
  <c r="D29" i="11"/>
  <c r="D10" i="23" s="1"/>
  <c r="E9" i="10"/>
  <c r="D9" i="10"/>
  <c r="D10" i="10"/>
  <c r="D8" i="10"/>
  <c r="E12" i="10" s="1"/>
  <c r="H12" i="10"/>
  <c r="G12" i="10"/>
  <c r="C18" i="32" l="1"/>
  <c r="J6" i="32"/>
  <c r="C19" i="32"/>
  <c r="E16" i="32"/>
  <c r="D26" i="11"/>
  <c r="D7" i="23" s="1"/>
  <c r="E24" i="11"/>
  <c r="E5" i="23" s="1"/>
  <c r="D24" i="11"/>
  <c r="D5" i="23" s="1"/>
  <c r="E28" i="11"/>
  <c r="E9" i="23" s="1"/>
  <c r="D28" i="11"/>
  <c r="D9" i="23" s="1"/>
  <c r="D27" i="11"/>
  <c r="D8" i="23" s="1"/>
  <c r="D25" i="11"/>
  <c r="D6" i="23" s="1"/>
  <c r="E26" i="11"/>
  <c r="E7" i="23" s="1"/>
  <c r="E25" i="11"/>
  <c r="E6" i="23" s="1"/>
  <c r="D12" i="10"/>
  <c r="F8" i="10"/>
  <c r="F12" i="10" s="1"/>
  <c r="J7" i="32" l="1"/>
  <c r="E17" i="32"/>
  <c r="F17" i="32"/>
  <c r="D18" i="32"/>
  <c r="F16" i="32"/>
  <c r="D19" i="32"/>
  <c r="G16" i="32"/>
  <c r="G24" i="11"/>
  <c r="G5" i="23" s="1"/>
  <c r="F24" i="11"/>
  <c r="F5" i="23" s="1"/>
  <c r="F27" i="11"/>
  <c r="F8" i="23" s="1"/>
  <c r="E27" i="11"/>
  <c r="E8" i="23" s="1"/>
  <c r="F25" i="11"/>
  <c r="F6" i="23" s="1"/>
  <c r="F26" i="11"/>
  <c r="F7" i="23" s="1"/>
  <c r="J8" i="32" l="1"/>
  <c r="E18" i="32"/>
  <c r="E19" i="32"/>
  <c r="F18" i="32"/>
  <c r="D20" i="32"/>
  <c r="C20" i="32"/>
  <c r="H24" i="11"/>
  <c r="H5" i="23" s="1"/>
  <c r="D12" i="21"/>
  <c r="E12" i="21"/>
  <c r="F12" i="21"/>
  <c r="G25" i="11"/>
  <c r="G6" i="23" s="1"/>
  <c r="J9" i="32" l="1"/>
  <c r="C22" i="32"/>
  <c r="C21" i="32"/>
  <c r="H17" i="32"/>
  <c r="G17" i="32"/>
  <c r="F19" i="32"/>
  <c r="E20" i="32"/>
  <c r="H16" i="32"/>
  <c r="G26" i="11"/>
  <c r="G7" i="23" s="1"/>
  <c r="J10" i="32" l="1"/>
  <c r="J11" i="32" s="1"/>
  <c r="J12" i="32" s="1"/>
  <c r="J13" i="32" s="1"/>
  <c r="J14" i="32" s="1"/>
  <c r="D21" i="32" s="1"/>
  <c r="G18" i="32"/>
  <c r="G12" i="21"/>
  <c r="H25" i="11"/>
  <c r="H12" i="21" l="1"/>
  <c r="H6" i="23"/>
</calcChain>
</file>

<file path=xl/sharedStrings.xml><?xml version="1.0" encoding="utf-8"?>
<sst xmlns="http://schemas.openxmlformats.org/spreadsheetml/2006/main" count="246" uniqueCount="105">
  <si>
    <t>Bond</t>
  </si>
  <si>
    <t>A</t>
  </si>
  <si>
    <t>B</t>
  </si>
  <si>
    <t>Accident Year</t>
  </si>
  <si>
    <t>Dev 0</t>
  </si>
  <si>
    <t>Dev 1</t>
  </si>
  <si>
    <t>Dev 2</t>
  </si>
  <si>
    <t>Dev 3</t>
  </si>
  <si>
    <t>Dev 4</t>
  </si>
  <si>
    <t>Dev 5</t>
  </si>
  <si>
    <t>Calendar Year</t>
  </si>
  <si>
    <t>CPI Index (2019 base=100)</t>
  </si>
  <si>
    <t>FX index (1.15 from CY 2022+)</t>
  </si>
  <si>
    <t>Parameters</t>
  </si>
  <si>
    <t>Value</t>
  </si>
  <si>
    <t>FX-sensitive share of claims</t>
  </si>
  <si>
    <t>Provided tail factor (applied after Dev 5)</t>
  </si>
  <si>
    <t>Month</t>
  </si>
  <si>
    <t>Return</t>
  </si>
  <si>
    <t>Investor</t>
  </si>
  <si>
    <t>Utility</t>
  </si>
  <si>
    <t>W0</t>
  </si>
  <si>
    <t>Gain</t>
  </si>
  <si>
    <t>Loss</t>
  </si>
  <si>
    <t>p(gain)</t>
  </si>
  <si>
    <t>sqrt(W)</t>
  </si>
  <si>
    <t>ln(W)</t>
  </si>
  <si>
    <t>Metric</t>
  </si>
  <si>
    <t>AY</t>
  </si>
  <si>
    <t>Mean</t>
  </si>
  <si>
    <t>Variance (sample)</t>
  </si>
  <si>
    <t>Std Dev (sample)</t>
  </si>
  <si>
    <t>VaR95 (historical)</t>
  </si>
  <si>
    <t>E[W]</t>
  </si>
  <si>
    <t>E[U]</t>
  </si>
  <si>
    <t>Certainty Equivalent</t>
  </si>
  <si>
    <t>Risk Premium</t>
  </si>
  <si>
    <t>Bond A</t>
  </si>
  <si>
    <t>Bond C</t>
  </si>
  <si>
    <t xml:space="preserve">marks </t>
  </si>
  <si>
    <t xml:space="preserve">Cumulative claims </t>
  </si>
  <si>
    <t xml:space="preserve">Incremental claims </t>
  </si>
  <si>
    <t xml:space="preserve">Inflation adjustemnt </t>
  </si>
  <si>
    <t>AY/ Dev</t>
  </si>
  <si>
    <t>Year</t>
  </si>
  <si>
    <t xml:space="preserve">Fx Factor </t>
  </si>
  <si>
    <t xml:space="preserve">Inflation adjustment on incremental claims </t>
  </si>
  <si>
    <t>FX adjustment on incremental claims</t>
  </si>
  <si>
    <t>Age to age factors</t>
  </si>
  <si>
    <t xml:space="preserve">Reason: </t>
  </si>
  <si>
    <t xml:space="preserve">Age to age development factors along a column look fairly consistent. </t>
  </si>
  <si>
    <t xml:space="preserve">In AY 2021 dev 2, there is a very large developemnt compared to the other years. </t>
  </si>
  <si>
    <t>average spike</t>
  </si>
  <si>
    <t xml:space="preserve">This particular development is 40% higher than average 2nd year development across all years. </t>
  </si>
  <si>
    <t>The claims figure for AY 2021 at development year 2 is unusually high. Outliers like this can distort the link ratios. Possible ways to deal with it include:</t>
  </si>
  <si>
    <r>
      <t>1. Replace the cell</t>
    </r>
    <r>
      <rPr>
        <sz val="11"/>
        <color theme="1"/>
        <rFont val="Calibri"/>
        <family val="2"/>
        <scheme val="minor"/>
      </rPr>
      <t xml:space="preserve"> with a value implied by the average of other accident years at the same development.</t>
    </r>
  </si>
  <si>
    <r>
      <t>2. Cap the increase</t>
    </r>
    <r>
      <rPr>
        <sz val="11"/>
        <color theme="1"/>
        <rFont val="Calibri"/>
        <family val="2"/>
        <scheme val="minor"/>
      </rPr>
      <t xml:space="preserve"> to a reasonable level (e.g. use the median development factor instead of the extreme one).</t>
    </r>
  </si>
  <si>
    <r>
      <t>3. Ignore the outlier year</t>
    </r>
    <r>
      <rPr>
        <sz val="11"/>
        <color theme="1"/>
        <rFont val="Calibri"/>
        <family val="2"/>
        <scheme val="minor"/>
      </rPr>
      <t xml:space="preserve"> when calculating the factor, and use the remaining years.</t>
    </r>
  </si>
  <si>
    <r>
      <t>4. Smooth the triangle</t>
    </r>
    <r>
      <rPr>
        <sz val="11"/>
        <color theme="1"/>
        <rFont val="Calibri"/>
        <family val="2"/>
        <scheme val="minor"/>
      </rPr>
      <t xml:space="preserve"> by spreading part of the spike into later development periods.</t>
    </r>
  </si>
  <si>
    <r>
      <t>5. Explain the cause</t>
    </r>
    <r>
      <rPr>
        <sz val="11"/>
        <color theme="1"/>
        <rFont val="Calibri"/>
        <family val="2"/>
        <scheme val="minor"/>
      </rPr>
      <t xml:space="preserve"> (e.g. large one-off claim) and adjust data so that future projections aren’t overstated.</t>
    </r>
  </si>
  <si>
    <t>marks</t>
  </si>
  <si>
    <t xml:space="preserve">Correct identificaiton of outlier and removing it </t>
  </si>
  <si>
    <t>SD</t>
  </si>
  <si>
    <t>Var95</t>
  </si>
  <si>
    <t>New data</t>
  </si>
  <si>
    <t>The –20% return outlier significantly inflates the sample variance, standard deviation, and VaR estimate, making the risk of the investment appear higher than under typical market conditions.</t>
  </si>
  <si>
    <t>Excluding the outlier reduces volatility and tail risk estimates substantially.</t>
  </si>
  <si>
    <t>To address sensitivity to extreme data points, alternative metrics can be used:</t>
  </si>
  <si>
    <r>
      <t>Expected Shortfall (CVaR)</t>
    </r>
    <r>
      <rPr>
        <sz val="11"/>
        <color theme="1"/>
        <rFont val="Calibri"/>
        <family val="2"/>
        <scheme val="minor"/>
      </rPr>
      <t xml:space="preserve"> to capture average tail loss beyond the VaR level.</t>
    </r>
  </si>
  <si>
    <r>
      <t>EWMA or GARCH</t>
    </r>
    <r>
      <rPr>
        <sz val="11"/>
        <color theme="1"/>
        <rFont val="Calibri"/>
        <family val="2"/>
        <scheme val="minor"/>
      </rPr>
      <t xml:space="preserve"> models for volatility that adapt to time-varying behaviour.</t>
    </r>
  </si>
  <si>
    <t xml:space="preserve">The outlier is -20% in month 30.  </t>
  </si>
  <si>
    <t xml:space="preserve">Total </t>
  </si>
  <si>
    <t>Max</t>
  </si>
  <si>
    <t xml:space="preserve">4 marks </t>
  </si>
  <si>
    <t xml:space="preserve">3 marks </t>
  </si>
  <si>
    <t xml:space="preserve">Inflation adjusted incremental claims </t>
  </si>
  <si>
    <t>YTM</t>
  </si>
  <si>
    <t>Bond Inputs</t>
  </si>
  <si>
    <t>Face Value</t>
  </si>
  <si>
    <t>Coupon Rate</t>
  </si>
  <si>
    <t>Maturity (Years)</t>
  </si>
  <si>
    <t>Bond B</t>
  </si>
  <si>
    <t>Spot Rates (effective annual)</t>
  </si>
  <si>
    <t>Spot s(t)</t>
  </si>
  <si>
    <t>Price (YTM)</t>
  </si>
  <si>
    <t>DF(t)</t>
  </si>
  <si>
    <t>Cash Flow</t>
  </si>
  <si>
    <t>PV</t>
  </si>
  <si>
    <t>Price via Spot (A)</t>
  </si>
  <si>
    <t>Price via YTM (from Part a)</t>
  </si>
  <si>
    <t>Difference (YTM – Spot)</t>
  </si>
  <si>
    <t>f(2,3)</t>
  </si>
  <si>
    <t>Price via Spot (B)</t>
  </si>
  <si>
    <t>Price via YTM (B)</t>
  </si>
  <si>
    <r>
      <t xml:space="preserve">The price calculated using </t>
    </r>
    <r>
      <rPr>
        <b/>
        <sz val="11"/>
        <color theme="1"/>
        <rFont val="Calibri"/>
        <family val="2"/>
        <scheme val="minor"/>
      </rPr>
      <t>spot rates</t>
    </r>
    <r>
      <rPr>
        <sz val="11"/>
        <color theme="1"/>
        <rFont val="Calibri"/>
        <family val="2"/>
        <scheme val="minor"/>
      </rPr>
      <t xml:space="preserve"> differs slightly from the YTM-based price because the YTM method assumes a </t>
    </r>
    <r>
      <rPr>
        <b/>
        <sz val="11"/>
        <color theme="1"/>
        <rFont val="Calibri"/>
        <family val="2"/>
        <scheme val="minor"/>
      </rPr>
      <t>single discount rate</t>
    </r>
    <r>
      <rPr>
        <sz val="11"/>
        <color theme="1"/>
        <rFont val="Calibri"/>
        <family val="2"/>
        <scheme val="minor"/>
      </rPr>
      <t xml:space="preserve"> applied to all cashflows, whereas the spot-rate method discounts </t>
    </r>
    <r>
      <rPr>
        <b/>
        <sz val="11"/>
        <color theme="1"/>
        <rFont val="Calibri"/>
        <family val="2"/>
        <scheme val="minor"/>
      </rPr>
      <t>each cashflow at its own maturity-specific rate</t>
    </r>
    <r>
      <rPr>
        <sz val="11"/>
        <color theme="1"/>
        <rFont val="Calibri"/>
        <family val="2"/>
        <scheme val="minor"/>
      </rPr>
      <t xml:space="preserve">. If the term structure is not flat, the two prices will generally differ. The </t>
    </r>
    <r>
      <rPr>
        <b/>
        <sz val="11"/>
        <color theme="1"/>
        <rFont val="Calibri"/>
        <family val="2"/>
        <scheme val="minor"/>
      </rPr>
      <t>spot-based price is theoretically more accurate</t>
    </r>
    <r>
      <rPr>
        <sz val="11"/>
        <color theme="1"/>
        <rFont val="Calibri"/>
        <family val="2"/>
        <scheme val="minor"/>
      </rPr>
      <t>, as it uses the full term structure rather than an average rate.</t>
    </r>
  </si>
  <si>
    <t>Total</t>
  </si>
  <si>
    <r>
      <t xml:space="preserve">The spot-curve price represents the </t>
    </r>
    <r>
      <rPr>
        <b/>
        <sz val="11"/>
        <color theme="1"/>
        <rFont val="Calibri"/>
        <family val="2"/>
        <scheme val="minor"/>
      </rPr>
      <t>arbitrage-free value</t>
    </r>
    <r>
      <rPr>
        <sz val="11"/>
        <color theme="1"/>
        <rFont val="Calibri"/>
        <family val="2"/>
        <scheme val="minor"/>
      </rPr>
      <t xml:space="preserve"> implied by the term structure. Comparing it with the quoted YTM price shows whether Bond B is </t>
    </r>
    <r>
      <rPr>
        <b/>
        <sz val="11"/>
        <color theme="1"/>
        <rFont val="Calibri"/>
        <family val="2"/>
        <scheme val="minor"/>
      </rPr>
      <t>consistent with the market curve</t>
    </r>
    <r>
      <rPr>
        <sz val="11"/>
        <color theme="1"/>
        <rFont val="Calibri"/>
        <family val="2"/>
        <scheme val="minor"/>
      </rPr>
      <t>.</t>
    </r>
  </si>
  <si>
    <r>
      <t xml:space="preserve">If the spot-based price is </t>
    </r>
    <r>
      <rPr>
        <b/>
        <sz val="11"/>
        <color theme="1"/>
        <rFont val="Calibri"/>
        <family val="2"/>
        <scheme val="minor"/>
      </rPr>
      <t>equal or very close</t>
    </r>
    <r>
      <rPr>
        <sz val="11"/>
        <color theme="1"/>
        <rFont val="Calibri"/>
        <family val="2"/>
        <scheme val="minor"/>
      </rPr>
      <t xml:space="preserve"> to the YTM-based price → Bond B is </t>
    </r>
    <r>
      <rPr>
        <b/>
        <sz val="11"/>
        <color theme="1"/>
        <rFont val="Calibri"/>
        <family val="2"/>
        <scheme val="minor"/>
      </rPr>
      <t>fairly priced</t>
    </r>
    <r>
      <rPr>
        <sz val="11"/>
        <color theme="1"/>
        <rFont val="Calibri"/>
        <family val="2"/>
        <scheme val="minor"/>
      </rPr>
      <t xml:space="preserve"> relative to the curve.</t>
    </r>
  </si>
  <si>
    <r>
      <t xml:space="preserve">If the spot-based price is </t>
    </r>
    <r>
      <rPr>
        <b/>
        <sz val="11"/>
        <color theme="1"/>
        <rFont val="Calibri"/>
        <family val="2"/>
        <scheme val="minor"/>
      </rPr>
      <t>higher</t>
    </r>
    <r>
      <rPr>
        <sz val="11"/>
        <color theme="1"/>
        <rFont val="Calibri"/>
        <family val="2"/>
        <scheme val="minor"/>
      </rPr>
      <t xml:space="preserve">, the quoted YTM is </t>
    </r>
    <r>
      <rPr>
        <b/>
        <sz val="11"/>
        <color theme="1"/>
        <rFont val="Calibri"/>
        <family val="2"/>
        <scheme val="minor"/>
      </rPr>
      <t>too high</t>
    </r>
    <r>
      <rPr>
        <sz val="11"/>
        <color theme="1"/>
        <rFont val="Calibri"/>
        <family val="2"/>
        <scheme val="minor"/>
      </rPr>
      <t xml:space="preserve"> (bond is priced too cheaply).</t>
    </r>
  </si>
  <si>
    <r>
      <t xml:space="preserve">If the spot-based price is </t>
    </r>
    <r>
      <rPr>
        <b/>
        <sz val="11"/>
        <color theme="1"/>
        <rFont val="Calibri"/>
        <family val="2"/>
        <scheme val="minor"/>
      </rPr>
      <t>lower</t>
    </r>
    <r>
      <rPr>
        <sz val="11"/>
        <color theme="1"/>
        <rFont val="Calibri"/>
        <family val="2"/>
        <scheme val="minor"/>
      </rPr>
      <t xml:space="preserve">, the YTM is </t>
    </r>
    <r>
      <rPr>
        <b/>
        <sz val="11"/>
        <color theme="1"/>
        <rFont val="Calibri"/>
        <family val="2"/>
        <scheme val="minor"/>
      </rPr>
      <t>too low</t>
    </r>
    <r>
      <rPr>
        <sz val="11"/>
        <color theme="1"/>
        <rFont val="Calibri"/>
        <family val="2"/>
        <scheme val="minor"/>
      </rPr>
      <t xml:space="preserve"> (bond is overpriced).</t>
    </r>
  </si>
  <si>
    <r>
      <t xml:space="preserve">Any discrepancy reflects the fact that a single YTM cannot fully summarise a </t>
    </r>
    <r>
      <rPr>
        <b/>
        <sz val="11"/>
        <color theme="1"/>
        <rFont val="Calibri"/>
        <family val="2"/>
        <scheme val="minor"/>
      </rPr>
      <t>non-flat yield curve</t>
    </r>
    <r>
      <rPr>
        <sz val="11"/>
        <color theme="1"/>
        <rFont val="Calibri"/>
        <family val="2"/>
        <scheme val="minor"/>
      </rPr>
      <t>.</t>
    </r>
  </si>
  <si>
    <r>
      <t xml:space="preserve">Typically, the </t>
    </r>
    <r>
      <rPr>
        <b/>
        <sz val="11"/>
        <color theme="1"/>
        <rFont val="Calibri"/>
        <family val="2"/>
        <scheme val="minor"/>
      </rPr>
      <t>log utility</t>
    </r>
    <r>
      <rPr>
        <sz val="11"/>
        <color theme="1"/>
        <rFont val="Calibri"/>
        <family val="2"/>
        <scheme val="minor"/>
      </rPr>
      <t xml:space="preserve"> investor is </t>
    </r>
    <r>
      <rPr>
        <i/>
        <sz val="11"/>
        <color theme="1"/>
        <rFont val="Calibri"/>
        <family val="2"/>
        <scheme val="minor"/>
      </rPr>
      <t>more</t>
    </r>
    <r>
      <rPr>
        <sz val="11"/>
        <color theme="1"/>
        <rFont val="Calibri"/>
        <family val="2"/>
        <scheme val="minor"/>
      </rPr>
      <t xml:space="preserve"> risk-averse than the √W investor, so they require a </t>
    </r>
    <r>
      <rPr>
        <b/>
        <sz val="11"/>
        <color theme="1"/>
        <rFont val="Calibri"/>
        <family val="2"/>
        <scheme val="minor"/>
      </rPr>
      <t>higher risk premium</t>
    </r>
    <r>
      <rPr>
        <sz val="11"/>
        <color theme="1"/>
        <rFont val="Calibri"/>
        <family val="2"/>
        <scheme val="minor"/>
      </rPr>
      <t>.</t>
    </r>
  </si>
  <si>
    <r>
      <t xml:space="preserve">A positive premium indicates </t>
    </r>
    <r>
      <rPr>
        <b/>
        <sz val="11"/>
        <color theme="1"/>
        <rFont val="Calibri"/>
        <family val="2"/>
        <scheme val="minor"/>
      </rPr>
      <t>risk aversion</t>
    </r>
    <r>
      <rPr>
        <sz val="11"/>
        <color theme="1"/>
        <rFont val="Calibri"/>
        <family val="2"/>
        <scheme val="minor"/>
      </rPr>
      <t xml:space="preserve"> — the investor demands compensation to bear uncertainty. </t>
    </r>
  </si>
  <si>
    <t>Since both utility functions are concave, both investors are risk-averse, but the investor with the larger risk premium is more risk-averse.</t>
  </si>
  <si>
    <t>5 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</si>
</sst>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"/>
    <numFmt numFmtId="166" formatCode="0.0000%"/>
    <numFmt numFmtId="167" formatCode="0.000000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EFF"/>
        <bgColor rgb="FFDDEE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3">
    <xf numFmtId="0" fontId="0" fillId="0" borderId="0" xfId="0"/>
    <xf numFmtId="0" fontId="1" fillId="2" borderId="0" xfId="0" applyFont="1" applyFill="1"/>
    <xf numFmtId="165" fontId="0" fillId="0" borderId="0" xfId="0" applyNumberFormat="1"/>
    <xf numFmtId="0" fontId="1" fillId="0" borderId="0" xfId="0" applyFont="1"/>
    <xf numFmtId="166" fontId="0" fillId="0" borderId="0" xfId="0" applyNumberFormat="1"/>
    <xf numFmtId="9" fontId="0" fillId="0" borderId="0" xfId="0" applyNumberFormat="1"/>
    <xf numFmtId="0" fontId="0" fillId="0" borderId="0" xfId="0" applyAlignment="1">
      <alignment horizontal="left" vertical="center" indent="1"/>
    </xf>
    <xf numFmtId="0" fontId="0" fillId="0" borderId="0" xfId="0" applyAlignment="1">
      <alignment wrapText="1"/>
    </xf>
    <xf numFmtId="0" fontId="0" fillId="3" borderId="0" xfId="0" applyFill="1"/>
    <xf numFmtId="164" fontId="0" fillId="0" borderId="0" xfId="1" applyFont="1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1" applyFont="1" applyBorder="1"/>
    <xf numFmtId="164" fontId="0" fillId="0" borderId="0" xfId="0" applyNumberFormat="1"/>
    <xf numFmtId="164" fontId="3" fillId="0" borderId="0" xfId="1" applyFont="1"/>
    <xf numFmtId="0" fontId="4" fillId="0" borderId="0" xfId="0" applyFont="1"/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0" borderId="0" xfId="0" applyFont="1" applyAlignment="1">
      <alignment horizontal="left" vertical="center" indent="2"/>
    </xf>
    <xf numFmtId="0" fontId="5" fillId="0" borderId="0" xfId="0" applyFont="1"/>
    <xf numFmtId="10" fontId="0" fillId="0" borderId="0" xfId="0" applyNumberFormat="1"/>
    <xf numFmtId="0" fontId="6" fillId="0" borderId="0" xfId="0" applyFont="1"/>
    <xf numFmtId="2" fontId="0" fillId="0" borderId="0" xfId="0" applyNumberFormat="1"/>
    <xf numFmtId="167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ont="1"/>
    <xf numFmtId="0" fontId="0" fillId="0" borderId="0" xfId="0" applyFont="1" applyFill="1"/>
    <xf numFmtId="0" fontId="5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20D2-6CB8-42B4-8672-8FA0609B166A}">
  <dimension ref="A1:E14"/>
  <sheetViews>
    <sheetView tabSelected="1" workbookViewId="0"/>
  </sheetViews>
  <sheetFormatPr defaultRowHeight="14.5" x14ac:dyDescent="0.35"/>
  <cols>
    <col min="1" max="5" width="18" customWidth="1"/>
  </cols>
  <sheetData>
    <row r="1" spans="1:5" ht="15.5" x14ac:dyDescent="0.35">
      <c r="A1" s="21" t="s">
        <v>77</v>
      </c>
    </row>
    <row r="2" spans="1:5" x14ac:dyDescent="0.35">
      <c r="A2" s="3" t="s">
        <v>0</v>
      </c>
      <c r="B2" s="3" t="s">
        <v>78</v>
      </c>
      <c r="C2" s="3" t="s">
        <v>79</v>
      </c>
      <c r="D2" s="3" t="s">
        <v>80</v>
      </c>
      <c r="E2" s="3" t="s">
        <v>76</v>
      </c>
    </row>
    <row r="3" spans="1:5" x14ac:dyDescent="0.35">
      <c r="A3" t="s">
        <v>37</v>
      </c>
      <c r="B3">
        <v>100</v>
      </c>
      <c r="C3" s="20">
        <v>0.04</v>
      </c>
      <c r="D3">
        <v>2</v>
      </c>
      <c r="E3" s="20">
        <v>3.5000000000000003E-2</v>
      </c>
    </row>
    <row r="4" spans="1:5" x14ac:dyDescent="0.35">
      <c r="A4" t="s">
        <v>81</v>
      </c>
      <c r="B4">
        <v>100</v>
      </c>
      <c r="C4" s="20">
        <v>0.06</v>
      </c>
      <c r="D4">
        <v>3</v>
      </c>
      <c r="E4" s="20">
        <v>0.05</v>
      </c>
    </row>
    <row r="5" spans="1:5" x14ac:dyDescent="0.35">
      <c r="A5" t="s">
        <v>38</v>
      </c>
      <c r="B5">
        <v>100</v>
      </c>
      <c r="C5" s="20">
        <v>0.03</v>
      </c>
      <c r="D5">
        <v>5</v>
      </c>
      <c r="E5" s="20">
        <v>0.04</v>
      </c>
    </row>
    <row r="8" spans="1:5" ht="15.5" x14ac:dyDescent="0.35">
      <c r="A8" s="21" t="s">
        <v>82</v>
      </c>
    </row>
    <row r="9" spans="1:5" x14ac:dyDescent="0.35">
      <c r="A9" s="3" t="s">
        <v>44</v>
      </c>
      <c r="B9" s="3" t="s">
        <v>83</v>
      </c>
    </row>
    <row r="10" spans="1:5" x14ac:dyDescent="0.35">
      <c r="A10">
        <v>1</v>
      </c>
      <c r="B10" s="20">
        <v>0.03</v>
      </c>
    </row>
    <row r="11" spans="1:5" x14ac:dyDescent="0.35">
      <c r="A11">
        <v>2</v>
      </c>
      <c r="B11" s="20">
        <v>3.2000000000000001E-2</v>
      </c>
    </row>
    <row r="12" spans="1:5" x14ac:dyDescent="0.35">
      <c r="A12">
        <v>3</v>
      </c>
      <c r="B12" s="20">
        <v>3.4000000000000002E-2</v>
      </c>
    </row>
    <row r="13" spans="1:5" x14ac:dyDescent="0.35">
      <c r="A13">
        <v>4</v>
      </c>
      <c r="B13" s="20">
        <v>3.5000000000000003E-2</v>
      </c>
    </row>
    <row r="14" spans="1:5" x14ac:dyDescent="0.35">
      <c r="A14">
        <v>5</v>
      </c>
      <c r="B14" s="20">
        <v>3.5999999999999997E-2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7A8D0-C5E7-47A5-9BC2-E71271CB6165}">
  <dimension ref="B4:J12"/>
  <sheetViews>
    <sheetView workbookViewId="0">
      <selection activeCell="J13" sqref="J13"/>
    </sheetView>
  </sheetViews>
  <sheetFormatPr defaultRowHeight="14.5" x14ac:dyDescent="0.35"/>
  <cols>
    <col min="2" max="2" width="12.08984375" bestFit="1" customWidth="1"/>
  </cols>
  <sheetData>
    <row r="4" spans="2:10" x14ac:dyDescent="0.35"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2:10" x14ac:dyDescent="0.35">
      <c r="B5">
        <v>2019</v>
      </c>
      <c r="C5" s="13">
        <f>SUM('Q2 c) '!$C16:C16)</f>
        <v>25</v>
      </c>
      <c r="D5" s="13">
        <f>SUM('Q2 c) '!$C16:D16)</f>
        <v>43.54</v>
      </c>
      <c r="E5" s="13">
        <f>SUM('Q2 c) '!$C16:E16)</f>
        <v>53.088099999999997</v>
      </c>
      <c r="F5" s="13">
        <f>SUM('Q2 c) '!$C16:F16)</f>
        <v>60.870946499999995</v>
      </c>
      <c r="G5" s="13">
        <f>SUM('Q2 c) '!$C16:G16)</f>
        <v>65.913970199999994</v>
      </c>
      <c r="H5" s="13">
        <f>SUM('Q2 c) '!$C16:H16)</f>
        <v>69.544968999999995</v>
      </c>
    </row>
    <row r="6" spans="2:10" x14ac:dyDescent="0.35">
      <c r="B6">
        <v>2020</v>
      </c>
      <c r="C6" s="13">
        <f>SUM('Q2 c) '!$C17:C17)</f>
        <v>28.839999999999996</v>
      </c>
      <c r="D6" s="13">
        <f>SUM('Q2 c) '!$C17:D17)</f>
        <v>47.936199999999999</v>
      </c>
      <c r="E6" s="13">
        <f>SUM('Q2 c) '!$C17:E17)</f>
        <v>59.909809999999993</v>
      </c>
      <c r="F6" s="13">
        <f>SUM('Q2 c) '!$C17:F17)</f>
        <v>68.961390999999992</v>
      </c>
      <c r="G6" s="13">
        <f>SUM('Q2 c) '!$C17:G17)</f>
        <v>75.245811999999987</v>
      </c>
      <c r="H6" s="13">
        <f>SUM('Q2 c) '!$C17:H17)</f>
        <v>79.016433249999992</v>
      </c>
    </row>
    <row r="7" spans="2:10" x14ac:dyDescent="0.35">
      <c r="B7">
        <v>2021</v>
      </c>
      <c r="C7" s="13">
        <f>SUM('Q2 c) '!$C18:C18)</f>
        <v>31.826999999999998</v>
      </c>
      <c r="D7" s="13">
        <f>SUM('Q2 c) '!$C18:D18)</f>
        <v>55.774219999999993</v>
      </c>
      <c r="E7" s="13">
        <f>SUM('Q2 c) '!$C18:E18)</f>
        <v>81.635879999999986</v>
      </c>
      <c r="F7" s="13">
        <f>SUM('Q2 c) '!$C18:F18)</f>
        <v>88.618569999999977</v>
      </c>
      <c r="G7" s="13">
        <f>SUM('Q2 c) '!$C18:G18)</f>
        <v>94.651563999999979</v>
      </c>
    </row>
    <row r="8" spans="2:10" x14ac:dyDescent="0.35">
      <c r="B8">
        <v>2022</v>
      </c>
      <c r="C8" s="13">
        <f>SUM('Q2 c) '!$C19:C19)</f>
        <v>26.341941999999996</v>
      </c>
      <c r="D8" s="13">
        <f>SUM('Q2 c) '!$C19:D19)</f>
        <v>49.617435999999998</v>
      </c>
      <c r="E8" s="13">
        <f>SUM('Q2 c) '!$C19:E19)</f>
        <v>63.582815999999994</v>
      </c>
      <c r="F8" s="13">
        <f>SUM('Q2 c) '!$C19:F19)</f>
        <v>78.665300999999999</v>
      </c>
    </row>
    <row r="9" spans="2:10" x14ac:dyDescent="0.35">
      <c r="B9">
        <v>2023</v>
      </c>
      <c r="C9" s="13">
        <f>SUM('Q2 c) '!$C20:C20)</f>
        <v>25.861660000000001</v>
      </c>
      <c r="D9" s="13">
        <f>SUM('Q2 c) '!$C20:D20)</f>
        <v>48.206267999999994</v>
      </c>
      <c r="E9" s="13">
        <f>SUM('Q2 c) '!$C20:E20)</f>
        <v>60.272255999999999</v>
      </c>
    </row>
    <row r="10" spans="2:10" x14ac:dyDescent="0.35">
      <c r="B10">
        <v>2024</v>
      </c>
      <c r="C10" s="13">
        <f>SUM('Q2 c) '!$C21:C21)</f>
        <v>25.137683999999993</v>
      </c>
      <c r="D10" s="13">
        <f>SUM('Q2 c) '!$C21:D21)</f>
        <v>46.253162999999986</v>
      </c>
    </row>
    <row r="11" spans="2:10" x14ac:dyDescent="0.35">
      <c r="B11">
        <v>2025</v>
      </c>
      <c r="C11" s="13">
        <f>SUM('Q2 c) '!$C22:C22)</f>
        <v>28.656721499999996</v>
      </c>
    </row>
    <row r="12" spans="2:10" x14ac:dyDescent="0.35">
      <c r="B12" s="8"/>
      <c r="C12" s="8"/>
      <c r="D12" s="8">
        <f>SUM(D5:D10)/SUM(C5:C10)</f>
        <v>1.7871931185142329</v>
      </c>
      <c r="E12" s="8">
        <f>SUM(E5:E9)/SUM(D5:D9)</f>
        <v>1.2995613604641507</v>
      </c>
      <c r="F12" s="8">
        <f>SUM(F5:F8)/SUM(E5:E8)</f>
        <v>1.1506471760379346</v>
      </c>
      <c r="G12" s="8">
        <f>SUM(G5:G7)/SUM(F5:F7)</f>
        <v>1.0794706641353733</v>
      </c>
      <c r="H12" s="8">
        <f>SUM(H5:H6)/SUM(G5:G6)</f>
        <v>1.052434340253608</v>
      </c>
      <c r="J12" t="s">
        <v>104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EB4A-1098-450B-9087-5358120349E1}">
  <sheetPr>
    <tabColor theme="5" tint="0.59999389629810485"/>
  </sheetPr>
  <dimension ref="A2:R41"/>
  <sheetViews>
    <sheetView workbookViewId="0">
      <selection activeCell="P3" sqref="P3"/>
    </sheetView>
  </sheetViews>
  <sheetFormatPr defaultRowHeight="14.5" x14ac:dyDescent="0.35"/>
  <cols>
    <col min="16" max="16" width="5.453125" bestFit="1" customWidth="1"/>
  </cols>
  <sheetData>
    <row r="2" spans="1:18" ht="43.5" x14ac:dyDescent="0.35">
      <c r="B2" t="s">
        <v>40</v>
      </c>
      <c r="J2" s="10" t="s">
        <v>44</v>
      </c>
      <c r="K2" s="10" t="s">
        <v>11</v>
      </c>
      <c r="L2" s="11" t="s">
        <v>42</v>
      </c>
      <c r="M2" s="10" t="s">
        <v>45</v>
      </c>
    </row>
    <row r="3" spans="1:18" x14ac:dyDescent="0.35">
      <c r="A3" s="7"/>
      <c r="B3" t="s">
        <v>28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J3" s="10">
        <v>2019</v>
      </c>
      <c r="K3" s="10">
        <f>'Q2 data'!B11</f>
        <v>100</v>
      </c>
      <c r="L3" s="12">
        <f t="shared" ref="L3:L14" si="0">K3/$K$3</f>
        <v>1</v>
      </c>
      <c r="M3" s="10">
        <f>'Q2 data'!C11</f>
        <v>1</v>
      </c>
      <c r="Q3" s="19"/>
    </row>
    <row r="4" spans="1:18" x14ac:dyDescent="0.35">
      <c r="A4" s="9"/>
      <c r="B4">
        <v>2019</v>
      </c>
      <c r="C4">
        <f>'Q2 data'!B2</f>
        <v>25</v>
      </c>
      <c r="D4">
        <f>'Q2 data'!C2</f>
        <v>43</v>
      </c>
      <c r="E4">
        <f>'Q2 data'!D2</f>
        <v>52</v>
      </c>
      <c r="F4">
        <f>'Q2 data'!E2</f>
        <v>58.5</v>
      </c>
      <c r="G4">
        <f>'Q2 data'!F2</f>
        <v>62.4</v>
      </c>
      <c r="H4">
        <f>'Q2 data'!G2</f>
        <v>65</v>
      </c>
      <c r="J4" s="10">
        <f>+J3+1</f>
        <v>2020</v>
      </c>
      <c r="K4" s="10">
        <f>'Q2 data'!B12</f>
        <v>103</v>
      </c>
      <c r="L4" s="12">
        <f t="shared" si="0"/>
        <v>1.03</v>
      </c>
      <c r="M4" s="10">
        <f>'Q2 data'!C12</f>
        <v>1</v>
      </c>
    </row>
    <row r="5" spans="1:18" x14ac:dyDescent="0.35">
      <c r="A5" s="9"/>
      <c r="B5">
        <v>2020</v>
      </c>
      <c r="C5">
        <f>'Q2 data'!B3</f>
        <v>28</v>
      </c>
      <c r="D5">
        <f>'Q2 data'!C3</f>
        <v>46</v>
      </c>
      <c r="E5">
        <f>'Q2 data'!D3</f>
        <v>56</v>
      </c>
      <c r="F5">
        <f>'Q2 data'!E3</f>
        <v>63</v>
      </c>
      <c r="G5">
        <f>'Q2 data'!F3</f>
        <v>67.5</v>
      </c>
      <c r="H5">
        <f>'Q2 data'!G3</f>
        <v>70</v>
      </c>
      <c r="J5" s="10">
        <f t="shared" ref="J5:J14" si="1">+J4+1</f>
        <v>2021</v>
      </c>
      <c r="K5" s="10">
        <f>'Q2 data'!B13</f>
        <v>106.09</v>
      </c>
      <c r="L5" s="12">
        <f t="shared" si="0"/>
        <v>1.0609</v>
      </c>
      <c r="M5" s="10">
        <f>'Q2 data'!C13</f>
        <v>1</v>
      </c>
    </row>
    <row r="6" spans="1:18" x14ac:dyDescent="0.35">
      <c r="A6" s="9"/>
      <c r="B6">
        <v>2021</v>
      </c>
      <c r="C6">
        <f>'Q2 data'!B4</f>
        <v>30</v>
      </c>
      <c r="D6">
        <f>'Q2 data'!C4</f>
        <v>50</v>
      </c>
      <c r="E6">
        <f>'Q2 data'!D4</f>
        <v>70</v>
      </c>
      <c r="F6">
        <f>'Q2 data'!E4</f>
        <v>75</v>
      </c>
      <c r="G6">
        <f>'Q2 data'!F4</f>
        <v>79</v>
      </c>
      <c r="H6" t="str">
        <f>IF('Q2 data'!$G$5="","", 'Q2 data'!$G$5/((INDEX('Q2 data'!$B$12:$B$23, MATCH(#REF!+5, 'Q2 data'!$A$12:$A$23,0)) / INDEX('Q2 data'!$B$12:$B$23, MATCH(2019, 'Q2 data'!$A$12:$A$23,0)))*(0.3*INDEX('Q2 data'!$C$12:$C$23, MATCH(#REF!+5, 'Q2 data'!$A$12:$A$23,0)) + 0.7)))</f>
        <v/>
      </c>
      <c r="J6" s="10">
        <f t="shared" si="1"/>
        <v>2022</v>
      </c>
      <c r="K6" s="10">
        <f>'Q2 data'!B14</f>
        <v>114.58</v>
      </c>
      <c r="L6" s="12">
        <f t="shared" si="0"/>
        <v>1.1457999999999999</v>
      </c>
      <c r="M6" s="10">
        <f>'Q2 data'!C14</f>
        <v>1.1499999999999999</v>
      </c>
    </row>
    <row r="7" spans="1:18" x14ac:dyDescent="0.35">
      <c r="A7" s="9"/>
      <c r="B7">
        <v>2022</v>
      </c>
      <c r="C7">
        <f>'Q2 data'!B5</f>
        <v>22</v>
      </c>
      <c r="D7">
        <f>'Q2 data'!C5</f>
        <v>40</v>
      </c>
      <c r="E7">
        <f>'Q2 data'!D5</f>
        <v>50</v>
      </c>
      <c r="F7">
        <f>'Q2 data'!E5</f>
        <v>60</v>
      </c>
      <c r="H7" t="str">
        <f>IF('Q2 data'!$G$6="","", 'Q2 data'!$G$6/((INDEX('Q2 data'!$B$12:$B$23, MATCH(#REF!+5, 'Q2 data'!$A$12:$A$23,0)) / INDEX('Q2 data'!$B$12:$B$23, MATCH(2019, 'Q2 data'!$A$12:$A$23,0)))*(0.3*INDEX('Q2 data'!$C$12:$C$23, MATCH(#REF!+5, 'Q2 data'!$A$12:$A$23,0)) + 0.7)))</f>
        <v/>
      </c>
      <c r="J7" s="10">
        <f t="shared" si="1"/>
        <v>2023</v>
      </c>
      <c r="K7" s="10">
        <f>'Q2 data'!B15</f>
        <v>123.74</v>
      </c>
      <c r="L7" s="12">
        <f t="shared" si="0"/>
        <v>1.2374000000000001</v>
      </c>
      <c r="M7" s="10">
        <f>'Q2 data'!C15</f>
        <v>1.1499999999999999</v>
      </c>
    </row>
    <row r="8" spans="1:18" x14ac:dyDescent="0.35">
      <c r="A8" s="9"/>
      <c r="B8">
        <v>2023</v>
      </c>
      <c r="C8">
        <f>'Q2 data'!B6</f>
        <v>20</v>
      </c>
      <c r="D8">
        <f>'Q2 data'!C6</f>
        <v>36</v>
      </c>
      <c r="E8">
        <f>'Q2 data'!D6</f>
        <v>44</v>
      </c>
      <c r="H8" t="str">
        <f>IF('Q2 data'!$G$7="","", 'Q2 data'!$G$7/((INDEX('Q2 data'!$B$12:$B$23, MATCH(#REF!+5, 'Q2 data'!$A$12:$A$23,0)) / INDEX('Q2 data'!$B$12:$B$23, MATCH(2019, 'Q2 data'!$A$12:$A$23,0)))*(0.3*INDEX('Q2 data'!$C$12:$C$23, MATCH(#REF!+5, 'Q2 data'!$A$12:$A$23,0)) + 0.7)))</f>
        <v/>
      </c>
      <c r="J8" s="10">
        <f t="shared" si="1"/>
        <v>2024</v>
      </c>
      <c r="K8" s="10">
        <f>'Q2 data'!B16</f>
        <v>133.63999999999999</v>
      </c>
      <c r="L8" s="12">
        <f t="shared" si="0"/>
        <v>1.3363999999999998</v>
      </c>
      <c r="M8" s="10">
        <f>'Q2 data'!C16</f>
        <v>1.1499999999999999</v>
      </c>
      <c r="P8" t="s">
        <v>71</v>
      </c>
      <c r="Q8">
        <v>12</v>
      </c>
      <c r="R8" t="s">
        <v>60</v>
      </c>
    </row>
    <row r="9" spans="1:18" x14ac:dyDescent="0.35">
      <c r="A9" s="9"/>
      <c r="B9">
        <v>2024</v>
      </c>
      <c r="C9">
        <f>'Q2 data'!B7</f>
        <v>18</v>
      </c>
      <c r="D9">
        <f>'Q2 data'!C7</f>
        <v>32</v>
      </c>
      <c r="H9" t="str">
        <f>IF('Q2 data'!$G$8="","", 'Q2 data'!$G$8/((INDEX('Q2 data'!$B$12:$B$23, MATCH(#REF!+5, 'Q2 data'!$A$12:$A$23,0)) / INDEX('Q2 data'!$B$12:$B$23, MATCH(2019, 'Q2 data'!$A$12:$A$23,0)))*(0.3*INDEX('Q2 data'!$C$12:$C$23, MATCH(#REF!+5, 'Q2 data'!$A$12:$A$23,0)) + 0.7)))</f>
        <v/>
      </c>
      <c r="J9" s="10">
        <f t="shared" si="1"/>
        <v>2025</v>
      </c>
      <c r="K9" s="10">
        <f>'Q2 data'!B17</f>
        <v>144.33000000000001</v>
      </c>
      <c r="L9" s="12">
        <f t="shared" si="0"/>
        <v>1.4433</v>
      </c>
      <c r="M9" s="10">
        <f>'Q2 data'!C17</f>
        <v>1.1499999999999999</v>
      </c>
    </row>
    <row r="10" spans="1:18" x14ac:dyDescent="0.35">
      <c r="A10" s="9"/>
      <c r="B10">
        <v>2025</v>
      </c>
      <c r="C10">
        <f>'Q2 data'!B8</f>
        <v>19</v>
      </c>
      <c r="J10" s="10">
        <f t="shared" si="1"/>
        <v>2026</v>
      </c>
      <c r="K10" s="10">
        <f>'Q2 data'!B18</f>
        <v>155.88</v>
      </c>
      <c r="L10" s="12">
        <f t="shared" si="0"/>
        <v>1.5588</v>
      </c>
      <c r="M10" s="10">
        <f>'Q2 data'!C18</f>
        <v>1.1499999999999999</v>
      </c>
    </row>
    <row r="11" spans="1:18" x14ac:dyDescent="0.35">
      <c r="A11" s="9"/>
      <c r="J11" s="10">
        <f t="shared" si="1"/>
        <v>2027</v>
      </c>
      <c r="K11" s="10">
        <f>'Q2 data'!B19</f>
        <v>168.35</v>
      </c>
      <c r="L11" s="12">
        <f t="shared" si="0"/>
        <v>1.6835</v>
      </c>
      <c r="M11" s="10">
        <f>'Q2 data'!C19</f>
        <v>1.1499999999999999</v>
      </c>
    </row>
    <row r="12" spans="1:18" x14ac:dyDescent="0.35">
      <c r="A12" s="9"/>
      <c r="B12" t="s">
        <v>41</v>
      </c>
      <c r="J12" s="10">
        <f t="shared" si="1"/>
        <v>2028</v>
      </c>
      <c r="K12" s="10">
        <f>'Q2 data'!B20</f>
        <v>181.81</v>
      </c>
      <c r="L12" s="12">
        <f t="shared" si="0"/>
        <v>1.8181</v>
      </c>
      <c r="M12" s="10">
        <f>'Q2 data'!C20</f>
        <v>1.1499999999999999</v>
      </c>
    </row>
    <row r="13" spans="1:18" x14ac:dyDescent="0.35">
      <c r="A13" s="9"/>
      <c r="B13" t="s">
        <v>28</v>
      </c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3" t="s">
        <v>9</v>
      </c>
      <c r="J13" s="10">
        <f t="shared" si="1"/>
        <v>2029</v>
      </c>
      <c r="K13" s="10">
        <f>'Q2 data'!B21</f>
        <v>196.36</v>
      </c>
      <c r="L13" s="12">
        <f t="shared" si="0"/>
        <v>1.9636000000000002</v>
      </c>
      <c r="M13" s="10">
        <f>'Q2 data'!C21</f>
        <v>1.1499999999999999</v>
      </c>
    </row>
    <row r="14" spans="1:18" x14ac:dyDescent="0.35">
      <c r="A14" s="9"/>
      <c r="B14">
        <v>2019</v>
      </c>
      <c r="C14">
        <f>C4</f>
        <v>25</v>
      </c>
      <c r="D14">
        <f>D4-C4</f>
        <v>18</v>
      </c>
      <c r="E14">
        <f t="shared" ref="E14:H15" si="2">E4-D4</f>
        <v>9</v>
      </c>
      <c r="F14">
        <f t="shared" si="2"/>
        <v>6.5</v>
      </c>
      <c r="G14">
        <f t="shared" si="2"/>
        <v>3.8999999999999986</v>
      </c>
      <c r="H14">
        <f t="shared" si="2"/>
        <v>2.6000000000000014</v>
      </c>
      <c r="J14" s="10">
        <f t="shared" si="1"/>
        <v>2030</v>
      </c>
      <c r="K14" s="10">
        <f>'Q2 data'!B22</f>
        <v>212.07</v>
      </c>
      <c r="L14" s="12">
        <f t="shared" si="0"/>
        <v>2.1206999999999998</v>
      </c>
      <c r="M14" s="10">
        <f>'Q2 data'!C22</f>
        <v>1.1499999999999999</v>
      </c>
    </row>
    <row r="15" spans="1:18" x14ac:dyDescent="0.35">
      <c r="A15" s="9"/>
      <c r="B15">
        <v>2020</v>
      </c>
      <c r="C15">
        <f t="shared" ref="C15:C20" si="3">C5</f>
        <v>28</v>
      </c>
      <c r="D15">
        <f t="shared" ref="D15:G19" si="4">D5-C5</f>
        <v>18</v>
      </c>
      <c r="E15">
        <f t="shared" si="4"/>
        <v>10</v>
      </c>
      <c r="F15">
        <f t="shared" si="4"/>
        <v>7</v>
      </c>
      <c r="G15">
        <f t="shared" si="4"/>
        <v>4.5</v>
      </c>
      <c r="H15">
        <f t="shared" si="2"/>
        <v>2.5</v>
      </c>
    </row>
    <row r="16" spans="1:18" x14ac:dyDescent="0.35">
      <c r="B16">
        <v>2021</v>
      </c>
      <c r="C16">
        <f t="shared" si="3"/>
        <v>30</v>
      </c>
      <c r="D16">
        <f t="shared" si="4"/>
        <v>20</v>
      </c>
      <c r="E16">
        <f t="shared" si="4"/>
        <v>20</v>
      </c>
      <c r="F16">
        <f t="shared" si="4"/>
        <v>5</v>
      </c>
      <c r="G16">
        <f t="shared" si="4"/>
        <v>4</v>
      </c>
      <c r="H16" t="str">
        <f>IF('Q2 data'!$G$5="","", 'Q2 data'!$G$5/((INDEX('Q2 data'!$B$12:$B$23, MATCH(#REF!+5, 'Q2 data'!$A$12:$A$23,0)) / INDEX('Q2 data'!$B$12:$B$23, MATCH(2019, 'Q2 data'!$A$12:$A$23,0)))*(0.3*INDEX('Q2 data'!$C$12:$C$23, MATCH(#REF!+5, 'Q2 data'!$A$12:$A$23,0)) + 0.7)))</f>
        <v/>
      </c>
    </row>
    <row r="17" spans="2:8" x14ac:dyDescent="0.35">
      <c r="B17">
        <v>2022</v>
      </c>
      <c r="C17">
        <f t="shared" si="3"/>
        <v>22</v>
      </c>
      <c r="D17">
        <f t="shared" si="4"/>
        <v>18</v>
      </c>
      <c r="E17">
        <f t="shared" si="4"/>
        <v>10</v>
      </c>
      <c r="F17">
        <f t="shared" si="4"/>
        <v>10</v>
      </c>
      <c r="H17" t="str">
        <f>IF('Q2 data'!$G$6="","", 'Q2 data'!$G$6/((INDEX('Q2 data'!$B$12:$B$23, MATCH(#REF!+5, 'Q2 data'!$A$12:$A$23,0)) / INDEX('Q2 data'!$B$12:$B$23, MATCH(2019, 'Q2 data'!$A$12:$A$23,0)))*(0.3*INDEX('Q2 data'!$C$12:$C$23, MATCH(#REF!+5, 'Q2 data'!$A$12:$A$23,0)) + 0.7)))</f>
        <v/>
      </c>
    </row>
    <row r="18" spans="2:8" x14ac:dyDescent="0.35">
      <c r="B18">
        <v>2023</v>
      </c>
      <c r="C18">
        <f t="shared" si="3"/>
        <v>20</v>
      </c>
      <c r="D18">
        <f t="shared" si="4"/>
        <v>16</v>
      </c>
      <c r="E18">
        <f t="shared" si="4"/>
        <v>8</v>
      </c>
      <c r="H18" t="str">
        <f>IF('Q2 data'!$G$7="","", 'Q2 data'!$G$7/((INDEX('Q2 data'!$B$12:$B$23, MATCH(#REF!+5, 'Q2 data'!$A$12:$A$23,0)) / INDEX('Q2 data'!$B$12:$B$23, MATCH(2019, 'Q2 data'!$A$12:$A$23,0)))*(0.3*INDEX('Q2 data'!$C$12:$C$23, MATCH(#REF!+5, 'Q2 data'!$A$12:$A$23,0)) + 0.7)))</f>
        <v/>
      </c>
    </row>
    <row r="19" spans="2:8" x14ac:dyDescent="0.35">
      <c r="B19">
        <v>2024</v>
      </c>
      <c r="C19">
        <f t="shared" si="3"/>
        <v>18</v>
      </c>
      <c r="D19">
        <f t="shared" si="4"/>
        <v>14</v>
      </c>
      <c r="H19" t="str">
        <f>IF('Q2 data'!$G$8="","", 'Q2 data'!$G$8/((INDEX('Q2 data'!$B$12:$B$23, MATCH(#REF!+5, 'Q2 data'!$A$12:$A$23,0)) / INDEX('Q2 data'!$B$12:$B$23, MATCH(2019, 'Q2 data'!$A$12:$A$23,0)))*(0.3*INDEX('Q2 data'!$C$12:$C$23, MATCH(#REF!+5, 'Q2 data'!$A$12:$A$23,0)) + 0.7)))</f>
        <v/>
      </c>
    </row>
    <row r="20" spans="2:8" x14ac:dyDescent="0.35">
      <c r="B20">
        <v>2025</v>
      </c>
      <c r="C20">
        <f t="shared" si="3"/>
        <v>19</v>
      </c>
    </row>
    <row r="22" spans="2:8" x14ac:dyDescent="0.35">
      <c r="B22" t="s">
        <v>46</v>
      </c>
    </row>
    <row r="23" spans="2:8" x14ac:dyDescent="0.35">
      <c r="B23" t="s">
        <v>43</v>
      </c>
      <c r="C23" s="3">
        <v>0</v>
      </c>
      <c r="D23" s="3">
        <v>1</v>
      </c>
      <c r="E23" s="3">
        <v>2</v>
      </c>
      <c r="F23" s="3">
        <v>3</v>
      </c>
      <c r="G23" s="3">
        <v>4</v>
      </c>
      <c r="H23" s="3">
        <v>5</v>
      </c>
    </row>
    <row r="24" spans="2:8" x14ac:dyDescent="0.35">
      <c r="B24">
        <v>2019</v>
      </c>
      <c r="C24" s="9">
        <f>C14/VLOOKUP($B24+C$23,$J$2:$L$14,3,0)</f>
        <v>25</v>
      </c>
      <c r="D24" s="9">
        <f t="shared" ref="D24:H25" si="5">D14/VLOOKUP($B24+D$23,$J$2:$L$14,3,0)</f>
        <v>17.475728155339805</v>
      </c>
      <c r="E24" s="9">
        <f t="shared" si="5"/>
        <v>8.4833631822037905</v>
      </c>
      <c r="F24" s="9">
        <f t="shared" si="5"/>
        <v>5.6728923023215225</v>
      </c>
      <c r="G24" s="9">
        <f t="shared" si="5"/>
        <v>3.1517698399870682</v>
      </c>
      <c r="H24" s="9">
        <f t="shared" si="5"/>
        <v>1.9455252918287951</v>
      </c>
    </row>
    <row r="25" spans="2:8" x14ac:dyDescent="0.35">
      <c r="B25">
        <v>2020</v>
      </c>
      <c r="C25" s="9">
        <f t="shared" ref="C25:G30" si="6">C15/VLOOKUP($B25+C$23,$J$2:$L$14,3,0)</f>
        <v>27.184466019417474</v>
      </c>
      <c r="D25" s="9">
        <f t="shared" si="6"/>
        <v>16.966726364407581</v>
      </c>
      <c r="E25" s="9">
        <f t="shared" si="6"/>
        <v>8.7275266189561886</v>
      </c>
      <c r="F25" s="9">
        <f t="shared" si="6"/>
        <v>5.6570227897203811</v>
      </c>
      <c r="G25" s="9">
        <f t="shared" si="6"/>
        <v>3.3672553127806051</v>
      </c>
      <c r="H25" s="9">
        <f t="shared" si="5"/>
        <v>1.7321416198988429</v>
      </c>
    </row>
    <row r="26" spans="2:8" x14ac:dyDescent="0.35">
      <c r="B26">
        <v>2021</v>
      </c>
      <c r="C26" s="9">
        <f t="shared" si="6"/>
        <v>28.277877274012631</v>
      </c>
      <c r="D26" s="9">
        <f t="shared" si="6"/>
        <v>17.455053237912377</v>
      </c>
      <c r="E26" s="9">
        <f t="shared" si="6"/>
        <v>16.162922256343947</v>
      </c>
      <c r="F26" s="9">
        <f t="shared" si="6"/>
        <v>3.74139479197845</v>
      </c>
      <c r="G26" s="9">
        <f t="shared" si="6"/>
        <v>2.7714265918381487</v>
      </c>
      <c r="H26" s="9"/>
    </row>
    <row r="27" spans="2:8" x14ac:dyDescent="0.35">
      <c r="B27">
        <v>2022</v>
      </c>
      <c r="C27" s="9">
        <f t="shared" si="6"/>
        <v>19.200558561703616</v>
      </c>
      <c r="D27" s="9">
        <f t="shared" si="6"/>
        <v>14.546630030709551</v>
      </c>
      <c r="E27" s="9">
        <f t="shared" si="6"/>
        <v>7.4827895839569001</v>
      </c>
      <c r="F27" s="9">
        <f t="shared" si="6"/>
        <v>6.9285664795953714</v>
      </c>
      <c r="G27" s="9"/>
      <c r="H27" s="9"/>
    </row>
    <row r="28" spans="2:8" x14ac:dyDescent="0.35">
      <c r="B28">
        <v>2023</v>
      </c>
      <c r="C28" s="9">
        <f t="shared" si="6"/>
        <v>16.162922256343947</v>
      </c>
      <c r="D28" s="9">
        <f t="shared" si="6"/>
        <v>11.97246333433104</v>
      </c>
      <c r="E28" s="9">
        <f t="shared" si="6"/>
        <v>5.5428531836762973</v>
      </c>
      <c r="F28" s="9"/>
      <c r="G28" s="9"/>
      <c r="H28" s="9"/>
    </row>
    <row r="29" spans="2:8" x14ac:dyDescent="0.35">
      <c r="B29">
        <v>2024</v>
      </c>
      <c r="C29" s="9">
        <f t="shared" si="6"/>
        <v>13.46902125112242</v>
      </c>
      <c r="D29" s="9">
        <f t="shared" si="6"/>
        <v>9.6999930714335196</v>
      </c>
      <c r="E29" s="9"/>
      <c r="F29" s="9"/>
      <c r="G29" s="9"/>
      <c r="H29" s="9"/>
    </row>
    <row r="30" spans="2:8" x14ac:dyDescent="0.35">
      <c r="B30">
        <v>2025</v>
      </c>
      <c r="C30" s="9">
        <f t="shared" si="6"/>
        <v>13.164276311231205</v>
      </c>
      <c r="D30" s="9"/>
      <c r="E30" s="9"/>
      <c r="F30" s="9"/>
      <c r="G30" s="9"/>
      <c r="H30" s="9"/>
    </row>
    <row r="34" spans="3:8" x14ac:dyDescent="0.35">
      <c r="C34" s="3"/>
      <c r="D34" s="3"/>
      <c r="E34" s="3"/>
      <c r="F34" s="3"/>
      <c r="G34" s="3"/>
      <c r="H34" s="3"/>
    </row>
    <row r="35" spans="3:8" x14ac:dyDescent="0.35">
      <c r="C35" s="9"/>
      <c r="D35" s="9"/>
      <c r="E35" s="9"/>
      <c r="F35" s="9"/>
      <c r="G35" s="9"/>
      <c r="H35" s="9"/>
    </row>
    <row r="36" spans="3:8" x14ac:dyDescent="0.35">
      <c r="C36" s="9"/>
      <c r="D36" s="9"/>
      <c r="E36" s="9"/>
      <c r="F36" s="9"/>
      <c r="G36" s="9"/>
      <c r="H36" s="9"/>
    </row>
    <row r="37" spans="3:8" x14ac:dyDescent="0.35">
      <c r="C37" s="9"/>
      <c r="D37" s="9"/>
      <c r="E37" s="9"/>
      <c r="F37" s="9"/>
      <c r="G37" s="9"/>
      <c r="H37" s="9"/>
    </row>
    <row r="38" spans="3:8" x14ac:dyDescent="0.35">
      <c r="C38" s="9"/>
      <c r="D38" s="9"/>
      <c r="E38" s="9"/>
      <c r="F38" s="9"/>
      <c r="G38" s="9"/>
      <c r="H38" s="9"/>
    </row>
    <row r="39" spans="3:8" x14ac:dyDescent="0.35">
      <c r="C39" s="9"/>
      <c r="D39" s="9"/>
      <c r="E39" s="9"/>
      <c r="F39" s="9"/>
      <c r="G39" s="9"/>
      <c r="H39" s="9"/>
    </row>
    <row r="40" spans="3:8" x14ac:dyDescent="0.35">
      <c r="C40" s="9"/>
      <c r="D40" s="9"/>
      <c r="E40" s="9"/>
      <c r="F40" s="9"/>
      <c r="G40" s="9"/>
      <c r="H40" s="9"/>
    </row>
    <row r="41" spans="3:8" x14ac:dyDescent="0.35">
      <c r="C41" s="9"/>
      <c r="D41" s="9"/>
      <c r="E41" s="9"/>
      <c r="F41" s="9"/>
      <c r="G41" s="9"/>
      <c r="H41" s="9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BF69-9EB5-47CE-A938-7CB781318B35}">
  <sheetPr>
    <tabColor theme="5" tint="0.59999389629810485"/>
  </sheetPr>
  <dimension ref="A2:R22"/>
  <sheetViews>
    <sheetView workbookViewId="0">
      <selection activeCell="P8" sqref="P8"/>
    </sheetView>
  </sheetViews>
  <sheetFormatPr defaultRowHeight="14.5" x14ac:dyDescent="0.35"/>
  <cols>
    <col min="16" max="16" width="5.453125" bestFit="1" customWidth="1"/>
  </cols>
  <sheetData>
    <row r="2" spans="1:18" ht="43.5" x14ac:dyDescent="0.35">
      <c r="J2" s="10" t="s">
        <v>44</v>
      </c>
      <c r="K2" s="10" t="s">
        <v>11</v>
      </c>
      <c r="L2" s="11" t="s">
        <v>42</v>
      </c>
      <c r="M2" s="10" t="s">
        <v>45</v>
      </c>
    </row>
    <row r="3" spans="1:18" x14ac:dyDescent="0.35">
      <c r="A3" s="7"/>
      <c r="B3" t="s">
        <v>75</v>
      </c>
      <c r="J3" s="10">
        <v>2019</v>
      </c>
      <c r="K3" s="10">
        <f>'Q2 data'!B11</f>
        <v>100</v>
      </c>
      <c r="L3" s="12">
        <f t="shared" ref="L3:L14" si="0">K3/$K$3</f>
        <v>1</v>
      </c>
      <c r="M3" s="10">
        <f>'Q2 data'!C11</f>
        <v>1</v>
      </c>
      <c r="Q3" s="19"/>
    </row>
    <row r="4" spans="1:18" x14ac:dyDescent="0.35">
      <c r="A4" s="9"/>
      <c r="B4" t="s">
        <v>43</v>
      </c>
      <c r="C4" s="3">
        <v>0</v>
      </c>
      <c r="D4" s="3">
        <v>1</v>
      </c>
      <c r="E4" s="3">
        <v>2</v>
      </c>
      <c r="F4" s="3">
        <v>3</v>
      </c>
      <c r="G4" s="3">
        <v>4</v>
      </c>
      <c r="H4" s="3">
        <v>5</v>
      </c>
      <c r="J4" s="10">
        <f>+J3+1</f>
        <v>2020</v>
      </c>
      <c r="K4" s="10">
        <f>'Q2 data'!B12</f>
        <v>103</v>
      </c>
      <c r="L4" s="12">
        <f t="shared" si="0"/>
        <v>1.03</v>
      </c>
      <c r="M4" s="10">
        <f>'Q2 data'!C12</f>
        <v>1</v>
      </c>
    </row>
    <row r="5" spans="1:18" x14ac:dyDescent="0.35">
      <c r="A5" s="9"/>
      <c r="B5">
        <v>2019</v>
      </c>
      <c r="C5" s="9">
        <f>'Q2 b) alternate version(2)'!C24</f>
        <v>25</v>
      </c>
      <c r="D5" s="9">
        <f>'Q2 b) alternate version(2)'!D24</f>
        <v>17.475728155339805</v>
      </c>
      <c r="E5" s="9">
        <f>'Q2 b) alternate version(2)'!E24</f>
        <v>8.4833631822037905</v>
      </c>
      <c r="F5" s="9">
        <f>'Q2 b) alternate version(2)'!F24</f>
        <v>5.6728923023215225</v>
      </c>
      <c r="G5" s="9">
        <f>'Q2 b) alternate version(2)'!G24</f>
        <v>3.1517698399870682</v>
      </c>
      <c r="H5" s="9">
        <f>'Q2 b) alternate version(2)'!H24</f>
        <v>1.9455252918287951</v>
      </c>
      <c r="J5" s="10">
        <f t="shared" ref="J5:J14" si="1">+J4+1</f>
        <v>2021</v>
      </c>
      <c r="K5" s="10">
        <f>'Q2 data'!B13</f>
        <v>106.09</v>
      </c>
      <c r="L5" s="12">
        <f t="shared" si="0"/>
        <v>1.0609</v>
      </c>
      <c r="M5" s="10">
        <f>'Q2 data'!C13</f>
        <v>1</v>
      </c>
    </row>
    <row r="6" spans="1:18" x14ac:dyDescent="0.35">
      <c r="A6" s="9"/>
      <c r="B6">
        <v>2020</v>
      </c>
      <c r="C6" s="9">
        <f>'Q2 b) alternate version(2)'!C25</f>
        <v>27.184466019417474</v>
      </c>
      <c r="D6" s="9">
        <f>'Q2 b) alternate version(2)'!D25</f>
        <v>16.966726364407581</v>
      </c>
      <c r="E6" s="9">
        <f>'Q2 b) alternate version(2)'!E25</f>
        <v>8.7275266189561886</v>
      </c>
      <c r="F6" s="9">
        <f>'Q2 b) alternate version(2)'!F25</f>
        <v>5.6570227897203811</v>
      </c>
      <c r="G6" s="9">
        <f>'Q2 b) alternate version(2)'!G25</f>
        <v>3.3672553127806051</v>
      </c>
      <c r="H6" s="9">
        <f>'Q2 b) alternate version(2)'!H25</f>
        <v>1.7321416198988429</v>
      </c>
      <c r="J6" s="10">
        <f t="shared" si="1"/>
        <v>2022</v>
      </c>
      <c r="K6" s="10">
        <f>'Q2 data'!B14</f>
        <v>114.58</v>
      </c>
      <c r="L6" s="12">
        <f t="shared" si="0"/>
        <v>1.1457999999999999</v>
      </c>
      <c r="M6" s="10">
        <f>'Q2 data'!C14</f>
        <v>1.1499999999999999</v>
      </c>
    </row>
    <row r="7" spans="1:18" x14ac:dyDescent="0.35">
      <c r="A7" s="9"/>
      <c r="B7">
        <v>2021</v>
      </c>
      <c r="C7" s="9">
        <f>'Q2 b) alternate version(2)'!C26</f>
        <v>28.277877274012631</v>
      </c>
      <c r="D7" s="9">
        <f>'Q2 b) alternate version(2)'!D26</f>
        <v>17.455053237912377</v>
      </c>
      <c r="E7" s="9">
        <f>'Q2 b) alternate version(2)'!E26</f>
        <v>16.162922256343947</v>
      </c>
      <c r="F7" s="9">
        <f>'Q2 b) alternate version(2)'!F26</f>
        <v>3.74139479197845</v>
      </c>
      <c r="G7" s="9">
        <f>'Q2 b) alternate version(2)'!G26</f>
        <v>2.7714265918381487</v>
      </c>
      <c r="H7" s="9"/>
      <c r="J7" s="10">
        <f t="shared" si="1"/>
        <v>2023</v>
      </c>
      <c r="K7" s="10">
        <f>'Q2 data'!B15</f>
        <v>123.74</v>
      </c>
      <c r="L7" s="12">
        <f t="shared" si="0"/>
        <v>1.2374000000000001</v>
      </c>
      <c r="M7" s="10">
        <f>'Q2 data'!C15</f>
        <v>1.1499999999999999</v>
      </c>
    </row>
    <row r="8" spans="1:18" x14ac:dyDescent="0.35">
      <c r="A8" s="9"/>
      <c r="B8">
        <v>2022</v>
      </c>
      <c r="C8" s="9">
        <f>'Q2 b) alternate version(2)'!C27</f>
        <v>19.200558561703616</v>
      </c>
      <c r="D8" s="9">
        <f>'Q2 b) alternate version(2)'!D27</f>
        <v>14.546630030709551</v>
      </c>
      <c r="E8" s="9">
        <f>'Q2 b) alternate version(2)'!E27</f>
        <v>7.4827895839569001</v>
      </c>
      <c r="F8" s="9">
        <f>'Q2 b) alternate version(2)'!F27</f>
        <v>6.9285664795953714</v>
      </c>
      <c r="G8" s="9"/>
      <c r="H8" s="9"/>
      <c r="J8" s="10">
        <f t="shared" si="1"/>
        <v>2024</v>
      </c>
      <c r="K8" s="10">
        <f>'Q2 data'!B16</f>
        <v>133.63999999999999</v>
      </c>
      <c r="L8" s="12">
        <f t="shared" si="0"/>
        <v>1.3363999999999998</v>
      </c>
      <c r="M8" s="10">
        <f>'Q2 data'!C16</f>
        <v>1.1499999999999999</v>
      </c>
      <c r="P8" t="s">
        <v>71</v>
      </c>
      <c r="Q8">
        <v>8</v>
      </c>
      <c r="R8" t="s">
        <v>60</v>
      </c>
    </row>
    <row r="9" spans="1:18" x14ac:dyDescent="0.35">
      <c r="A9" s="9"/>
      <c r="B9">
        <v>2023</v>
      </c>
      <c r="C9" s="9">
        <f>'Q2 b) alternate version(2)'!C28</f>
        <v>16.162922256343947</v>
      </c>
      <c r="D9" s="9">
        <f>'Q2 b) alternate version(2)'!D28</f>
        <v>11.97246333433104</v>
      </c>
      <c r="E9" s="9">
        <f>'Q2 b) alternate version(2)'!E28</f>
        <v>5.5428531836762973</v>
      </c>
      <c r="F9" s="9"/>
      <c r="G9" s="9"/>
      <c r="H9" s="9"/>
      <c r="J9" s="10">
        <f t="shared" si="1"/>
        <v>2025</v>
      </c>
      <c r="K9" s="10">
        <f>'Q2 data'!B17</f>
        <v>144.33000000000001</v>
      </c>
      <c r="L9" s="12">
        <f t="shared" si="0"/>
        <v>1.4433</v>
      </c>
      <c r="M9" s="10">
        <f>'Q2 data'!C17</f>
        <v>1.1499999999999999</v>
      </c>
    </row>
    <row r="10" spans="1:18" x14ac:dyDescent="0.35">
      <c r="A10" s="9"/>
      <c r="B10">
        <v>2024</v>
      </c>
      <c r="C10" s="9">
        <f>'Q2 b) alternate version(2)'!C29</f>
        <v>13.46902125112242</v>
      </c>
      <c r="D10" s="9">
        <f>'Q2 b) alternate version(2)'!D29</f>
        <v>9.6999930714335196</v>
      </c>
      <c r="E10" s="9"/>
      <c r="F10" s="9"/>
      <c r="G10" s="9"/>
      <c r="H10" s="9"/>
      <c r="J10" s="10">
        <f t="shared" si="1"/>
        <v>2026</v>
      </c>
      <c r="K10" s="10">
        <f>'Q2 data'!B18</f>
        <v>155.88</v>
      </c>
      <c r="L10" s="12">
        <f t="shared" si="0"/>
        <v>1.5588</v>
      </c>
      <c r="M10" s="10">
        <f>'Q2 data'!C18</f>
        <v>1.1499999999999999</v>
      </c>
    </row>
    <row r="11" spans="1:18" x14ac:dyDescent="0.35">
      <c r="A11" s="9"/>
      <c r="B11">
        <v>2025</v>
      </c>
      <c r="C11" s="9">
        <f>'Q2 b) alternate version(2)'!C30</f>
        <v>13.164276311231205</v>
      </c>
      <c r="D11" s="9"/>
      <c r="E11" s="9"/>
      <c r="F11" s="9"/>
      <c r="G11" s="9"/>
      <c r="H11" s="9"/>
      <c r="J11" s="10">
        <f t="shared" si="1"/>
        <v>2027</v>
      </c>
      <c r="K11" s="10">
        <f>'Q2 data'!B19</f>
        <v>168.35</v>
      </c>
      <c r="L11" s="12">
        <f t="shared" si="0"/>
        <v>1.6835</v>
      </c>
      <c r="M11" s="10">
        <f>'Q2 data'!C19</f>
        <v>1.1499999999999999</v>
      </c>
    </row>
    <row r="12" spans="1:18" x14ac:dyDescent="0.35">
      <c r="A12" s="9"/>
      <c r="J12" s="10">
        <f t="shared" si="1"/>
        <v>2028</v>
      </c>
      <c r="K12" s="10">
        <f>'Q2 data'!B20</f>
        <v>181.81</v>
      </c>
      <c r="L12" s="12">
        <f t="shared" si="0"/>
        <v>1.8181</v>
      </c>
      <c r="M12" s="10">
        <f>'Q2 data'!C20</f>
        <v>1.1499999999999999</v>
      </c>
    </row>
    <row r="13" spans="1:18" x14ac:dyDescent="0.35">
      <c r="A13" s="9"/>
      <c r="B13" t="s">
        <v>47</v>
      </c>
      <c r="J13" s="10">
        <f t="shared" si="1"/>
        <v>2029</v>
      </c>
      <c r="K13" s="10">
        <f>'Q2 data'!B21</f>
        <v>196.36</v>
      </c>
      <c r="L13" s="12">
        <f t="shared" si="0"/>
        <v>1.9636000000000002</v>
      </c>
      <c r="M13" s="10">
        <f>'Q2 data'!C21</f>
        <v>1.1499999999999999</v>
      </c>
    </row>
    <row r="14" spans="1:18" x14ac:dyDescent="0.35">
      <c r="A14" s="9"/>
      <c r="J14" s="10">
        <f t="shared" si="1"/>
        <v>2030</v>
      </c>
      <c r="K14" s="10">
        <f>'Q2 data'!B22</f>
        <v>212.07</v>
      </c>
      <c r="L14" s="12">
        <f t="shared" si="0"/>
        <v>2.1206999999999998</v>
      </c>
      <c r="M14" s="10">
        <f>'Q2 data'!C22</f>
        <v>1.1499999999999999</v>
      </c>
    </row>
    <row r="15" spans="1:18" x14ac:dyDescent="0.35">
      <c r="A15" s="9"/>
      <c r="B15" t="s">
        <v>43</v>
      </c>
      <c r="C15" s="3">
        <v>0</v>
      </c>
      <c r="D15" s="3">
        <v>1</v>
      </c>
      <c r="E15" s="3">
        <v>2</v>
      </c>
      <c r="F15" s="3">
        <v>3</v>
      </c>
      <c r="G15" s="3">
        <v>4</v>
      </c>
      <c r="H15" s="3">
        <v>5</v>
      </c>
    </row>
    <row r="16" spans="1:18" x14ac:dyDescent="0.35">
      <c r="B16">
        <v>2019</v>
      </c>
      <c r="C16" s="9">
        <f>C5*VLOOKUP($B16+C$4,$J$2:$M$14,4,0)*'Q2 data'!$M$2+C5*(1-'Q2 data'!$M$2)</f>
        <v>25</v>
      </c>
      <c r="D16" s="9">
        <f>D5*VLOOKUP($B16+D$4,$J$2:$M$14,4,0)*'Q2 data'!$M$2+D5*(1-'Q2 data'!$M$2)</f>
        <v>17.475728155339802</v>
      </c>
      <c r="E16" s="9">
        <f>E5*VLOOKUP($B16+E$4,$J$2:$M$14,4,0)*'Q2 data'!$M$2+E5*(1-'Q2 data'!$M$2)</f>
        <v>8.4833631822037887</v>
      </c>
      <c r="F16" s="9">
        <f>F5*VLOOKUP($B16+F$4,$J$2:$M$14,4,0)*'Q2 data'!$M$2+F5*(1-'Q2 data'!$M$2)</f>
        <v>5.9281724559259903</v>
      </c>
      <c r="G16" s="9">
        <f>G5*VLOOKUP($B16+G$4,$J$2:$M$14,4,0)*'Q2 data'!$M$2+G5*(1-'Q2 data'!$M$2)</f>
        <v>3.2935994827864858</v>
      </c>
      <c r="H16" s="9">
        <f>H5*VLOOKUP($B16+H$4,$J$2:$M$14,4,0)*'Q2 data'!$M$2+H5*(1-'Q2 data'!$M$2)</f>
        <v>2.0330739299610907</v>
      </c>
    </row>
    <row r="17" spans="2:8" x14ac:dyDescent="0.35">
      <c r="B17">
        <v>2020</v>
      </c>
      <c r="C17" s="9">
        <f>C6*VLOOKUP($B17+C$4,$J$2:$M$14,4,0)*'Q2 data'!$M$2+C6*(1-'Q2 data'!$M$2)</f>
        <v>27.184466019417474</v>
      </c>
      <c r="D17" s="9">
        <f>D6*VLOOKUP($B17+D$4,$J$2:$M$14,4,0)*'Q2 data'!$M$2+D6*(1-'Q2 data'!$M$2)</f>
        <v>16.966726364407577</v>
      </c>
      <c r="E17" s="9">
        <f>E6*VLOOKUP($B17+E$4,$J$2:$M$14,4,0)*'Q2 data'!$M$2+E6*(1-'Q2 data'!$M$2)</f>
        <v>9.1202653168092169</v>
      </c>
      <c r="F17" s="9">
        <f>F6*VLOOKUP($B17+F$4,$J$2:$M$14,4,0)*'Q2 data'!$M$2+F6*(1-'Q2 data'!$M$2)</f>
        <v>5.9115888152577973</v>
      </c>
      <c r="G17" s="9">
        <f>G6*VLOOKUP($B17+G$4,$J$2:$M$14,4,0)*'Q2 data'!$M$2+G6*(1-'Q2 data'!$M$2)</f>
        <v>3.5187818018557318</v>
      </c>
      <c r="H17" s="9">
        <f>H6*VLOOKUP($B17+H$4,$J$2:$M$14,4,0)*'Q2 data'!$M$2+H6*(1-'Q2 data'!$M$2)</f>
        <v>1.8100879927942906</v>
      </c>
    </row>
    <row r="18" spans="2:8" x14ac:dyDescent="0.35">
      <c r="B18">
        <v>2021</v>
      </c>
      <c r="C18" s="9">
        <f>C7*VLOOKUP($B18+C$4,$J$2:$M$14,4,0)*'Q2 data'!$M$2+C7*(1-'Q2 data'!$M$2)</f>
        <v>28.277877274012628</v>
      </c>
      <c r="D18" s="9">
        <f>D7*VLOOKUP($B18+D$4,$J$2:$M$14,4,0)*'Q2 data'!$M$2+D7*(1-'Q2 data'!$M$2)</f>
        <v>18.240530633618434</v>
      </c>
      <c r="E18" s="9">
        <f>E7*VLOOKUP($B18+E$4,$J$2:$M$14,4,0)*'Q2 data'!$M$2+E7*(1-'Q2 data'!$M$2)</f>
        <v>16.890253757879425</v>
      </c>
      <c r="F18" s="9">
        <f>F7*VLOOKUP($B18+F$4,$J$2:$M$14,4,0)*'Q2 data'!$M$2+F7*(1-'Q2 data'!$M$2)</f>
        <v>3.9097575576174797</v>
      </c>
      <c r="G18" s="9">
        <f>G7*VLOOKUP($B18+G$4,$J$2:$M$14,4,0)*'Q2 data'!$M$2+G7*(1-'Q2 data'!$M$2)</f>
        <v>2.896140788470865</v>
      </c>
      <c r="H18" s="9"/>
    </row>
    <row r="19" spans="2:8" x14ac:dyDescent="0.35">
      <c r="B19">
        <v>2022</v>
      </c>
      <c r="C19" s="9">
        <f>C8*VLOOKUP($B19+C$4,$J$2:$M$14,4,0)*'Q2 data'!$M$2+C8*(1-'Q2 data'!$M$2)</f>
        <v>20.064583696980275</v>
      </c>
      <c r="D19" s="9">
        <f>D8*VLOOKUP($B19+D$4,$J$2:$M$14,4,0)*'Q2 data'!$M$2+D8*(1-'Q2 data'!$M$2)</f>
        <v>15.201228382091481</v>
      </c>
      <c r="E19" s="9">
        <f>E8*VLOOKUP($B19+E$4,$J$2:$M$14,4,0)*'Q2 data'!$M$2+E8*(1-'Q2 data'!$M$2)</f>
        <v>7.8195151152349593</v>
      </c>
      <c r="F19" s="9">
        <f>F8*VLOOKUP($B19+F$4,$J$2:$M$14,4,0)*'Q2 data'!$M$2+F8*(1-'Q2 data'!$M$2)</f>
        <v>7.2403519711771622</v>
      </c>
      <c r="G19" s="9"/>
      <c r="H19" s="9"/>
    </row>
    <row r="20" spans="2:8" x14ac:dyDescent="0.35">
      <c r="B20">
        <v>2023</v>
      </c>
      <c r="C20" s="9">
        <f>C9*VLOOKUP($B20+C$4,$J$2:$M$14,4,0)*'Q2 data'!$M$2+C9*(1-'Q2 data'!$M$2)</f>
        <v>16.890253757879425</v>
      </c>
      <c r="D20" s="9">
        <f>D9*VLOOKUP($B20+D$4,$J$2:$M$14,4,0)*'Q2 data'!$M$2+D9*(1-'Q2 data'!$M$2)</f>
        <v>12.511224184375937</v>
      </c>
      <c r="E20" s="9">
        <f>E9*VLOOKUP($B20+E$4,$J$2:$M$14,4,0)*'Q2 data'!$M$2+E9*(1-'Q2 data'!$M$2)</f>
        <v>5.79228157694173</v>
      </c>
      <c r="F20" s="9"/>
      <c r="G20" s="9"/>
      <c r="H20" s="9"/>
    </row>
    <row r="21" spans="2:8" x14ac:dyDescent="0.35">
      <c r="B21">
        <v>2024</v>
      </c>
      <c r="C21" s="9">
        <f>C10*VLOOKUP($B21+C$4,$J$2:$M$14,4,0)*'Q2 data'!$M$2+C10*(1-'Q2 data'!$M$2)</f>
        <v>14.075127207422927</v>
      </c>
      <c r="D21" s="9">
        <f>D10*VLOOKUP($B21+D$4,$J$2:$M$14,4,0)*'Q2 data'!$M$2+D10*(1-'Q2 data'!$M$2)</f>
        <v>10.136492759648027</v>
      </c>
      <c r="E21" s="9"/>
      <c r="F21" s="9"/>
      <c r="G21" s="9"/>
      <c r="H21" s="9"/>
    </row>
    <row r="22" spans="2:8" x14ac:dyDescent="0.35">
      <c r="B22">
        <v>2025</v>
      </c>
      <c r="C22" s="9">
        <f>C11*VLOOKUP($B22+C$4,$J$2:$M$14,4,0)*'Q2 data'!$M$2+C11*(1-'Q2 data'!$M$2)</f>
        <v>13.756668745236608</v>
      </c>
      <c r="D22" s="9"/>
      <c r="E22" s="9"/>
      <c r="F22" s="9"/>
      <c r="G22" s="9"/>
      <c r="H22" s="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35B9B-EA1B-4664-AC4D-0C1D03EFD63F}">
  <sheetPr>
    <tabColor theme="5" tint="0.59999389629810485"/>
  </sheetPr>
  <dimension ref="B4:J12"/>
  <sheetViews>
    <sheetView workbookViewId="0">
      <selection activeCell="J13" sqref="J13"/>
    </sheetView>
  </sheetViews>
  <sheetFormatPr defaultRowHeight="14.5" x14ac:dyDescent="0.35"/>
  <cols>
    <col min="2" max="2" width="12.08984375" bestFit="1" customWidth="1"/>
  </cols>
  <sheetData>
    <row r="4" spans="2:10" x14ac:dyDescent="0.35"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2:10" x14ac:dyDescent="0.35">
      <c r="B5">
        <v>2019</v>
      </c>
      <c r="C5" s="13">
        <f>SUM('Q2 c) alternate version (2)'!$C16:C16)</f>
        <v>25</v>
      </c>
      <c r="D5" s="13">
        <f>SUM('Q2 c) alternate version (2)'!$C16:D16)</f>
        <v>42.475728155339802</v>
      </c>
      <c r="E5" s="13">
        <f>SUM('Q2 c) alternate version (2)'!$C16:E16)</f>
        <v>50.95909133754359</v>
      </c>
      <c r="F5" s="13">
        <f>SUM('Q2 c) alternate version (2)'!$C16:F16)</f>
        <v>56.887263793469579</v>
      </c>
      <c r="G5" s="13">
        <f>SUM('Q2 c) alternate version (2)'!$C16:G16)</f>
        <v>60.180863276256062</v>
      </c>
      <c r="H5" s="13">
        <f>SUM('Q2 c) alternate version (2)'!$C16:H16)</f>
        <v>62.213937206217153</v>
      </c>
    </row>
    <row r="6" spans="2:10" x14ac:dyDescent="0.35">
      <c r="B6">
        <v>2020</v>
      </c>
      <c r="C6" s="13">
        <f>SUM('Q2 c) alternate version (2)'!$C17:C17)</f>
        <v>27.184466019417474</v>
      </c>
      <c r="D6" s="13">
        <f>SUM('Q2 c) alternate version (2)'!$C17:D17)</f>
        <v>44.151192383825048</v>
      </c>
      <c r="E6" s="13">
        <f>SUM('Q2 c) alternate version (2)'!$C17:E17)</f>
        <v>53.271457700634265</v>
      </c>
      <c r="F6" s="13">
        <f>SUM('Q2 c) alternate version (2)'!$C17:F17)</f>
        <v>59.183046515892059</v>
      </c>
      <c r="G6" s="13">
        <f>SUM('Q2 c) alternate version (2)'!$C17:G17)</f>
        <v>62.70182831774779</v>
      </c>
      <c r="H6" s="13">
        <f>SUM('Q2 c) alternate version (2)'!$C17:H17)</f>
        <v>64.511916310542077</v>
      </c>
    </row>
    <row r="7" spans="2:10" x14ac:dyDescent="0.35">
      <c r="B7">
        <v>2021</v>
      </c>
      <c r="C7" s="13">
        <f>SUM('Q2 c) alternate version (2)'!$C18:C18)</f>
        <v>28.277877274012628</v>
      </c>
      <c r="D7" s="13">
        <f>SUM('Q2 c) alternate version (2)'!$C18:D18)</f>
        <v>46.518407907631058</v>
      </c>
      <c r="E7" s="13">
        <f>SUM('Q2 c) alternate version (2)'!$C18:E18)</f>
        <v>63.408661665510479</v>
      </c>
      <c r="F7" s="13">
        <f>SUM('Q2 c) alternate version (2)'!$C18:F18)</f>
        <v>67.318419223127961</v>
      </c>
      <c r="G7" s="13">
        <f>SUM('Q2 c) alternate version (2)'!$C18:G18)</f>
        <v>70.21456001159882</v>
      </c>
    </row>
    <row r="8" spans="2:10" x14ac:dyDescent="0.35">
      <c r="B8">
        <v>2022</v>
      </c>
      <c r="C8" s="13">
        <f>SUM('Q2 c) alternate version (2)'!$C19:C19)</f>
        <v>20.064583696980275</v>
      </c>
      <c r="D8" s="13">
        <f>SUM('Q2 c) alternate version (2)'!$C19:D19)</f>
        <v>35.265812079071758</v>
      </c>
      <c r="E8" s="13">
        <f>SUM('Q2 c) alternate version (2)'!$C19:E19)</f>
        <v>43.085327194306714</v>
      </c>
      <c r="F8" s="13">
        <f>SUM('Q2 c) alternate version (2)'!$C19:F19)</f>
        <v>50.325679165483876</v>
      </c>
    </row>
    <row r="9" spans="2:10" x14ac:dyDescent="0.35">
      <c r="B9">
        <v>2023</v>
      </c>
      <c r="C9" s="13">
        <f>SUM('Q2 c) alternate version (2)'!$C20:C20)</f>
        <v>16.890253757879425</v>
      </c>
      <c r="D9" s="13">
        <f>SUM('Q2 c) alternate version (2)'!$C20:D20)</f>
        <v>29.401477942255362</v>
      </c>
      <c r="E9" s="13">
        <f>SUM('Q2 c) alternate version (2)'!$C20:E20)</f>
        <v>35.193759519197094</v>
      </c>
    </row>
    <row r="10" spans="2:10" x14ac:dyDescent="0.35">
      <c r="B10">
        <v>2024</v>
      </c>
      <c r="C10" s="13">
        <f>SUM('Q2 c) alternate version (2)'!$C21:C21)</f>
        <v>14.075127207422927</v>
      </c>
      <c r="D10" s="13">
        <f>SUM('Q2 c) alternate version (2)'!$C21:D21)</f>
        <v>24.211619967070952</v>
      </c>
    </row>
    <row r="11" spans="2:10" x14ac:dyDescent="0.35">
      <c r="B11">
        <v>2025</v>
      </c>
      <c r="C11" s="13">
        <f>SUM('Q2 c) alternate version (2)'!$C22:C22)</f>
        <v>13.756668745236608</v>
      </c>
    </row>
    <row r="12" spans="2:10" x14ac:dyDescent="0.35">
      <c r="B12" s="8"/>
      <c r="C12" s="8"/>
      <c r="D12" s="8">
        <f>SUM(D5:D10)/SUM(C5:C10)</f>
        <v>1.6884960184132813</v>
      </c>
      <c r="E12" s="8">
        <f>SUM(E5:E9)/SUM(D5:D9)</f>
        <v>1.2431881207660229</v>
      </c>
      <c r="F12" s="8">
        <f>SUM(F5:F8)/SUM(E5:E8)</f>
        <v>1.1090991634353806</v>
      </c>
      <c r="G12" s="8">
        <f>SUM(G5:G7)/SUM(F5:F7)</f>
        <v>1.0529395786636555</v>
      </c>
      <c r="H12" s="8">
        <f>SUM(H5:H6)/SUM(G5:G6)</f>
        <v>1.0312750467368743</v>
      </c>
      <c r="J12" t="s">
        <v>104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P23"/>
  <sheetViews>
    <sheetView workbookViewId="0">
      <selection activeCell="N15" sqref="N15"/>
    </sheetView>
  </sheetViews>
  <sheetFormatPr defaultRowHeight="14.5" x14ac:dyDescent="0.35"/>
  <sheetData>
    <row r="2" spans="2:16" x14ac:dyDescent="0.35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</row>
    <row r="3" spans="2:16" x14ac:dyDescent="0.35">
      <c r="B3">
        <v>2019</v>
      </c>
      <c r="C3">
        <f>'Q2 data'!B2</f>
        <v>25</v>
      </c>
      <c r="D3">
        <f>'Q2 data'!C2</f>
        <v>43</v>
      </c>
      <c r="E3">
        <f>'Q2 data'!D2</f>
        <v>52</v>
      </c>
      <c r="F3">
        <f>'Q2 data'!E2</f>
        <v>58.5</v>
      </c>
      <c r="G3">
        <f>'Q2 data'!F2</f>
        <v>62.4</v>
      </c>
      <c r="H3">
        <f>'Q2 data'!G2</f>
        <v>65</v>
      </c>
      <c r="K3" t="s">
        <v>49</v>
      </c>
    </row>
    <row r="4" spans="2:16" x14ac:dyDescent="0.35">
      <c r="B4">
        <v>2020</v>
      </c>
      <c r="C4">
        <f>'Q2 data'!B3</f>
        <v>28</v>
      </c>
      <c r="D4">
        <f>'Q2 data'!C3</f>
        <v>46</v>
      </c>
      <c r="E4">
        <f>'Q2 data'!D3</f>
        <v>56</v>
      </c>
      <c r="F4">
        <f>'Q2 data'!E3</f>
        <v>63</v>
      </c>
      <c r="G4">
        <f>'Q2 data'!F3</f>
        <v>67.5</v>
      </c>
      <c r="H4">
        <v>70</v>
      </c>
    </row>
    <row r="5" spans="2:16" x14ac:dyDescent="0.35">
      <c r="B5">
        <v>2021</v>
      </c>
      <c r="C5">
        <f>'Q2 data'!B4</f>
        <v>30</v>
      </c>
      <c r="D5">
        <f>'Q2 data'!C4</f>
        <v>50</v>
      </c>
      <c r="E5">
        <f>'Q2 data'!D4</f>
        <v>70</v>
      </c>
      <c r="F5">
        <f>'Q2 data'!E4</f>
        <v>75</v>
      </c>
      <c r="G5">
        <f>'Q2 data'!F4</f>
        <v>79</v>
      </c>
      <c r="K5" t="s">
        <v>50</v>
      </c>
    </row>
    <row r="6" spans="2:16" x14ac:dyDescent="0.35">
      <c r="B6">
        <v>2022</v>
      </c>
      <c r="C6">
        <f>'Q2 data'!B5</f>
        <v>22</v>
      </c>
      <c r="D6">
        <f>'Q2 data'!C5</f>
        <v>40</v>
      </c>
      <c r="E6">
        <f>'Q2 data'!D5</f>
        <v>50</v>
      </c>
      <c r="F6">
        <f>'Q2 data'!E5</f>
        <v>60</v>
      </c>
      <c r="K6" t="s">
        <v>51</v>
      </c>
    </row>
    <row r="7" spans="2:16" x14ac:dyDescent="0.35">
      <c r="B7">
        <v>2023</v>
      </c>
      <c r="C7">
        <f>'Q2 data'!B6</f>
        <v>20</v>
      </c>
      <c r="D7">
        <f>'Q2 data'!C6</f>
        <v>36</v>
      </c>
      <c r="E7">
        <f>'Q2 data'!D6</f>
        <v>44</v>
      </c>
      <c r="K7" t="s">
        <v>53</v>
      </c>
    </row>
    <row r="8" spans="2:16" x14ac:dyDescent="0.35">
      <c r="B8">
        <v>2024</v>
      </c>
      <c r="C8">
        <f>'Q2 data'!B7</f>
        <v>18</v>
      </c>
      <c r="D8">
        <f>'Q2 data'!C7</f>
        <v>32</v>
      </c>
    </row>
    <row r="9" spans="2:16" x14ac:dyDescent="0.35">
      <c r="B9">
        <v>2025</v>
      </c>
      <c r="C9">
        <f>'Q2 data'!B8</f>
        <v>19</v>
      </c>
    </row>
    <row r="12" spans="2:16" x14ac:dyDescent="0.35">
      <c r="B12" t="s">
        <v>48</v>
      </c>
    </row>
    <row r="14" spans="2:16" x14ac:dyDescent="0.35"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  <c r="H14" t="s">
        <v>9</v>
      </c>
    </row>
    <row r="15" spans="2:16" x14ac:dyDescent="0.35">
      <c r="B15">
        <v>2019</v>
      </c>
      <c r="D15" s="9">
        <f>D3/C3</f>
        <v>1.72</v>
      </c>
      <c r="E15" s="9">
        <f t="shared" ref="E15:H16" si="0">E3/D3</f>
        <v>1.2093023255813953</v>
      </c>
      <c r="F15" s="9">
        <f t="shared" si="0"/>
        <v>1.125</v>
      </c>
      <c r="G15" s="9">
        <f t="shared" si="0"/>
        <v>1.0666666666666667</v>
      </c>
      <c r="H15" s="9">
        <f t="shared" si="0"/>
        <v>1.0416666666666667</v>
      </c>
      <c r="N15" t="s">
        <v>71</v>
      </c>
      <c r="O15">
        <v>6</v>
      </c>
      <c r="P15" t="s">
        <v>39</v>
      </c>
    </row>
    <row r="16" spans="2:16" x14ac:dyDescent="0.35">
      <c r="B16">
        <v>2020</v>
      </c>
      <c r="D16" s="9">
        <f t="shared" ref="D16:G20" si="1">D4/C4</f>
        <v>1.6428571428571428</v>
      </c>
      <c r="E16" s="9">
        <f t="shared" si="1"/>
        <v>1.2173913043478262</v>
      </c>
      <c r="F16" s="9">
        <f t="shared" si="1"/>
        <v>1.125</v>
      </c>
      <c r="G16" s="9">
        <f t="shared" si="1"/>
        <v>1.0714285714285714</v>
      </c>
      <c r="H16" s="9">
        <f t="shared" si="0"/>
        <v>1.037037037037037</v>
      </c>
    </row>
    <row r="17" spans="2:8" x14ac:dyDescent="0.35">
      <c r="B17">
        <v>2021</v>
      </c>
      <c r="D17" s="9">
        <f t="shared" si="1"/>
        <v>1.6666666666666667</v>
      </c>
      <c r="E17" s="14">
        <f t="shared" si="1"/>
        <v>1.4</v>
      </c>
      <c r="F17" s="9">
        <f t="shared" si="1"/>
        <v>1.0714285714285714</v>
      </c>
      <c r="G17" s="9">
        <f t="shared" si="1"/>
        <v>1.0533333333333332</v>
      </c>
      <c r="H17" s="9"/>
    </row>
    <row r="18" spans="2:8" x14ac:dyDescent="0.35">
      <c r="B18">
        <v>2022</v>
      </c>
      <c r="D18" s="9">
        <f t="shared" si="1"/>
        <v>1.8181818181818181</v>
      </c>
      <c r="E18" s="9">
        <f t="shared" si="1"/>
        <v>1.25</v>
      </c>
      <c r="F18" s="9">
        <f t="shared" si="1"/>
        <v>1.2</v>
      </c>
      <c r="G18" s="9"/>
      <c r="H18" s="9"/>
    </row>
    <row r="19" spans="2:8" x14ac:dyDescent="0.35">
      <c r="B19">
        <v>2023</v>
      </c>
      <c r="D19" s="9">
        <f t="shared" si="1"/>
        <v>1.8</v>
      </c>
      <c r="E19" s="9">
        <f t="shared" si="1"/>
        <v>1.2222222222222223</v>
      </c>
      <c r="F19" s="9"/>
      <c r="G19" s="9"/>
      <c r="H19" s="9"/>
    </row>
    <row r="20" spans="2:8" x14ac:dyDescent="0.35">
      <c r="B20">
        <v>2024</v>
      </c>
      <c r="D20" s="9">
        <f t="shared" si="1"/>
        <v>1.7777777777777777</v>
      </c>
      <c r="E20" s="9"/>
      <c r="F20" s="9"/>
      <c r="G20" s="9"/>
      <c r="H20" s="9"/>
    </row>
    <row r="21" spans="2:8" x14ac:dyDescent="0.35">
      <c r="B21">
        <v>2025</v>
      </c>
    </row>
    <row r="23" spans="2:8" x14ac:dyDescent="0.35">
      <c r="C23" s="28" t="s">
        <v>52</v>
      </c>
      <c r="D23" s="28"/>
      <c r="E23" s="13">
        <f>E17-AVERAGE(E15:E16,E18:E19)/AVERAGE(E15:E16,E18:E19)</f>
        <v>0.39999999999999991</v>
      </c>
    </row>
  </sheetData>
  <mergeCells count="1">
    <mergeCell ref="C23:D23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C3:L19"/>
  <sheetViews>
    <sheetView workbookViewId="0">
      <selection activeCell="C15" sqref="C15"/>
    </sheetView>
  </sheetViews>
  <sheetFormatPr defaultRowHeight="14.5" x14ac:dyDescent="0.35"/>
  <sheetData>
    <row r="3" spans="3:3" x14ac:dyDescent="0.35">
      <c r="C3" t="s">
        <v>54</v>
      </c>
    </row>
    <row r="4" spans="3:3" x14ac:dyDescent="0.35">
      <c r="C4" s="6"/>
    </row>
    <row r="5" spans="3:3" x14ac:dyDescent="0.35">
      <c r="C5" s="16" t="s">
        <v>55</v>
      </c>
    </row>
    <row r="6" spans="3:3" x14ac:dyDescent="0.35">
      <c r="C6" s="6"/>
    </row>
    <row r="7" spans="3:3" x14ac:dyDescent="0.35">
      <c r="C7" s="16" t="s">
        <v>56</v>
      </c>
    </row>
    <row r="8" spans="3:3" x14ac:dyDescent="0.35">
      <c r="C8" s="6"/>
    </row>
    <row r="9" spans="3:3" x14ac:dyDescent="0.35">
      <c r="C9" s="16" t="s">
        <v>57</v>
      </c>
    </row>
    <row r="10" spans="3:3" x14ac:dyDescent="0.35">
      <c r="C10" s="6"/>
    </row>
    <row r="11" spans="3:3" x14ac:dyDescent="0.35">
      <c r="C11" s="16" t="s">
        <v>58</v>
      </c>
    </row>
    <row r="12" spans="3:3" x14ac:dyDescent="0.35">
      <c r="C12" s="6"/>
    </row>
    <row r="13" spans="3:3" x14ac:dyDescent="0.35">
      <c r="C13" s="16" t="s">
        <v>59</v>
      </c>
    </row>
    <row r="15" spans="3:3" x14ac:dyDescent="0.35">
      <c r="C15" s="15"/>
    </row>
    <row r="19" spans="11:12" x14ac:dyDescent="0.35">
      <c r="K19" s="30" t="s">
        <v>72</v>
      </c>
      <c r="L19" s="30" t="s">
        <v>73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7"/>
  <sheetViews>
    <sheetView workbookViewId="0">
      <selection activeCell="A31" sqref="A31"/>
    </sheetView>
  </sheetViews>
  <sheetFormatPr defaultRowHeight="14.5" x14ac:dyDescent="0.35"/>
  <sheetData>
    <row r="1" spans="1:2" x14ac:dyDescent="0.35">
      <c r="A1" t="s">
        <v>17</v>
      </c>
      <c r="B1" t="s">
        <v>18</v>
      </c>
    </row>
    <row r="2" spans="1:2" x14ac:dyDescent="0.35">
      <c r="A2">
        <v>1</v>
      </c>
      <c r="B2" s="5">
        <v>1.2E-2</v>
      </c>
    </row>
    <row r="3" spans="1:2" x14ac:dyDescent="0.35">
      <c r="A3">
        <v>2</v>
      </c>
      <c r="B3" s="5">
        <v>-8.0000000000000002E-3</v>
      </c>
    </row>
    <row r="4" spans="1:2" x14ac:dyDescent="0.35">
      <c r="A4">
        <v>3</v>
      </c>
      <c r="B4" s="5">
        <v>1.4999999999999999E-2</v>
      </c>
    </row>
    <row r="5" spans="1:2" x14ac:dyDescent="0.35">
      <c r="A5">
        <v>4</v>
      </c>
      <c r="B5" s="5">
        <v>8.9999999999999993E-3</v>
      </c>
    </row>
    <row r="6" spans="1:2" x14ac:dyDescent="0.35">
      <c r="A6">
        <v>5</v>
      </c>
      <c r="B6" s="5">
        <v>-2.1999999999999999E-2</v>
      </c>
    </row>
    <row r="7" spans="1:2" x14ac:dyDescent="0.35">
      <c r="A7">
        <v>6</v>
      </c>
      <c r="B7" s="5">
        <v>3.1E-2</v>
      </c>
    </row>
    <row r="8" spans="1:2" x14ac:dyDescent="0.35">
      <c r="A8">
        <v>7</v>
      </c>
      <c r="B8" s="5">
        <v>4.0000000000000001E-3</v>
      </c>
    </row>
    <row r="9" spans="1:2" x14ac:dyDescent="0.35">
      <c r="A9">
        <v>8</v>
      </c>
      <c r="B9" s="5">
        <v>-1.0999999999999999E-2</v>
      </c>
    </row>
    <row r="10" spans="1:2" x14ac:dyDescent="0.35">
      <c r="A10">
        <v>9</v>
      </c>
      <c r="B10" s="5">
        <v>1.7999999999999999E-2</v>
      </c>
    </row>
    <row r="11" spans="1:2" x14ac:dyDescent="0.35">
      <c r="A11">
        <v>10</v>
      </c>
      <c r="B11" s="5">
        <v>7.0000000000000001E-3</v>
      </c>
    </row>
    <row r="12" spans="1:2" x14ac:dyDescent="0.35">
      <c r="A12">
        <v>11</v>
      </c>
      <c r="B12" s="5">
        <v>-6.0000000000000001E-3</v>
      </c>
    </row>
    <row r="13" spans="1:2" x14ac:dyDescent="0.35">
      <c r="A13">
        <v>12</v>
      </c>
      <c r="B13" s="5">
        <v>1.2999999999999999E-2</v>
      </c>
    </row>
    <row r="14" spans="1:2" x14ac:dyDescent="0.35">
      <c r="A14">
        <v>13</v>
      </c>
      <c r="B14" s="5">
        <v>0.01</v>
      </c>
    </row>
    <row r="15" spans="1:2" x14ac:dyDescent="0.35">
      <c r="A15">
        <v>14</v>
      </c>
      <c r="B15" s="5">
        <v>5.0000000000000001E-3</v>
      </c>
    </row>
    <row r="16" spans="1:2" x14ac:dyDescent="0.35">
      <c r="A16">
        <v>15</v>
      </c>
      <c r="B16" s="5">
        <v>-1.7000000000000001E-2</v>
      </c>
    </row>
    <row r="17" spans="1:2" x14ac:dyDescent="0.35">
      <c r="A17">
        <v>16</v>
      </c>
      <c r="B17" s="5">
        <v>2.1999999999999999E-2</v>
      </c>
    </row>
    <row r="18" spans="1:2" x14ac:dyDescent="0.35">
      <c r="A18">
        <v>17</v>
      </c>
      <c r="B18" s="5">
        <v>6.0000000000000001E-3</v>
      </c>
    </row>
    <row r="19" spans="1:2" x14ac:dyDescent="0.35">
      <c r="A19">
        <v>18</v>
      </c>
      <c r="B19" s="5">
        <v>-4.0000000000000001E-3</v>
      </c>
    </row>
    <row r="20" spans="1:2" x14ac:dyDescent="0.35">
      <c r="A20">
        <v>19</v>
      </c>
      <c r="B20" s="5">
        <v>1.9E-2</v>
      </c>
    </row>
    <row r="21" spans="1:2" x14ac:dyDescent="0.35">
      <c r="A21">
        <v>20</v>
      </c>
      <c r="B21" s="5">
        <v>-1.2E-2</v>
      </c>
    </row>
    <row r="22" spans="1:2" x14ac:dyDescent="0.35">
      <c r="A22">
        <v>21</v>
      </c>
      <c r="B22" s="5">
        <v>8.0000000000000002E-3</v>
      </c>
    </row>
    <row r="23" spans="1:2" x14ac:dyDescent="0.35">
      <c r="A23">
        <v>22</v>
      </c>
      <c r="B23" s="5">
        <v>1.0999999999999999E-2</v>
      </c>
    </row>
    <row r="24" spans="1:2" x14ac:dyDescent="0.35">
      <c r="A24">
        <v>23</v>
      </c>
      <c r="B24" s="5">
        <v>-8.9999999999999993E-3</v>
      </c>
    </row>
    <row r="25" spans="1:2" x14ac:dyDescent="0.35">
      <c r="A25">
        <v>24</v>
      </c>
      <c r="B25" s="5">
        <v>1.4E-2</v>
      </c>
    </row>
    <row r="26" spans="1:2" x14ac:dyDescent="0.35">
      <c r="A26">
        <v>25</v>
      </c>
      <c r="B26" s="5">
        <v>1.6E-2</v>
      </c>
    </row>
    <row r="27" spans="1:2" x14ac:dyDescent="0.35">
      <c r="A27">
        <v>26</v>
      </c>
      <c r="B27" s="5">
        <v>8.9999999999999993E-3</v>
      </c>
    </row>
    <row r="28" spans="1:2" x14ac:dyDescent="0.35">
      <c r="A28">
        <v>27</v>
      </c>
      <c r="B28" s="5">
        <v>-7.0000000000000001E-3</v>
      </c>
    </row>
    <row r="29" spans="1:2" x14ac:dyDescent="0.35">
      <c r="A29">
        <v>28</v>
      </c>
      <c r="B29" s="5">
        <v>1.2E-2</v>
      </c>
    </row>
    <row r="30" spans="1:2" x14ac:dyDescent="0.35">
      <c r="A30">
        <v>29</v>
      </c>
      <c r="B30" s="5">
        <v>-5.0000000000000001E-3</v>
      </c>
    </row>
    <row r="31" spans="1:2" x14ac:dyDescent="0.35">
      <c r="A31">
        <v>30</v>
      </c>
      <c r="B31" s="5">
        <v>-0.2</v>
      </c>
    </row>
    <row r="32" spans="1:2" x14ac:dyDescent="0.35">
      <c r="A32">
        <v>31</v>
      </c>
      <c r="B32" s="5">
        <v>1.7999999999999999E-2</v>
      </c>
    </row>
    <row r="33" spans="1:2" x14ac:dyDescent="0.35">
      <c r="A33">
        <v>32</v>
      </c>
      <c r="B33" s="5">
        <v>6.0000000000000001E-3</v>
      </c>
    </row>
    <row r="34" spans="1:2" x14ac:dyDescent="0.35">
      <c r="A34">
        <v>33</v>
      </c>
      <c r="B34" s="5">
        <v>-3.0000000000000001E-3</v>
      </c>
    </row>
    <row r="35" spans="1:2" x14ac:dyDescent="0.35">
      <c r="A35">
        <v>34</v>
      </c>
      <c r="B35" s="5">
        <v>1.7000000000000001E-2</v>
      </c>
    </row>
    <row r="36" spans="1:2" x14ac:dyDescent="0.35">
      <c r="A36">
        <v>35</v>
      </c>
      <c r="B36" s="5">
        <v>4.0000000000000001E-3</v>
      </c>
    </row>
    <row r="37" spans="1:2" x14ac:dyDescent="0.35">
      <c r="A37">
        <v>36</v>
      </c>
      <c r="B37" s="5">
        <v>0.01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3:E8"/>
  <sheetViews>
    <sheetView workbookViewId="0">
      <selection activeCell="F11" sqref="F11"/>
    </sheetView>
  </sheetViews>
  <sheetFormatPr defaultRowHeight="14.5" x14ac:dyDescent="0.35"/>
  <cols>
    <col min="1" max="1" width="15.81640625" bestFit="1" customWidth="1"/>
  </cols>
  <sheetData>
    <row r="3" spans="1:5" x14ac:dyDescent="0.35">
      <c r="A3" s="3" t="s">
        <v>27</v>
      </c>
      <c r="B3" s="3" t="s">
        <v>14</v>
      </c>
      <c r="D3" s="29"/>
      <c r="E3" s="29"/>
    </row>
    <row r="4" spans="1:5" x14ac:dyDescent="0.35">
      <c r="A4" t="s">
        <v>29</v>
      </c>
      <c r="B4" s="4">
        <f>AVERAGE('Q3 data '!B2:B37)</f>
        <v>-2.2222222222222218E-4</v>
      </c>
      <c r="D4" s="29"/>
      <c r="E4" s="29"/>
    </row>
    <row r="5" spans="1:5" x14ac:dyDescent="0.35">
      <c r="A5" t="s">
        <v>30</v>
      </c>
      <c r="B5" s="4">
        <f>_xlfn.VAR.S('Q3 data '!$B$2:$B$37)</f>
        <v>1.3119492063492066E-3</v>
      </c>
      <c r="D5" s="29"/>
      <c r="E5" s="29"/>
    </row>
    <row r="6" spans="1:5" x14ac:dyDescent="0.35">
      <c r="A6" t="s">
        <v>31</v>
      </c>
      <c r="B6" s="4">
        <f>_xlfn.STDEV.S('Q3 data '!$B$2:$B$37)</f>
        <v>3.6220839393216811E-2</v>
      </c>
      <c r="D6" s="29"/>
      <c r="E6" s="29"/>
    </row>
    <row r="7" spans="1:5" x14ac:dyDescent="0.35">
      <c r="A7" t="s">
        <v>32</v>
      </c>
      <c r="B7" s="4">
        <f>-_xlfn.PERCENTILE.INC('Q3 data '!$B$2:$B$37,0.05)</f>
        <v>1.8250000000000002E-2</v>
      </c>
      <c r="D7" s="29"/>
      <c r="E7" s="29"/>
    </row>
    <row r="8" spans="1:5" x14ac:dyDescent="0.35">
      <c r="D8" s="29">
        <v>10</v>
      </c>
      <c r="E8" s="29" t="s">
        <v>39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9"/>
  <sheetViews>
    <sheetView workbookViewId="0"/>
  </sheetViews>
  <sheetFormatPr defaultRowHeight="14.5" x14ac:dyDescent="0.35"/>
  <cols>
    <col min="4" max="4" width="15.36328125" bestFit="1" customWidth="1"/>
  </cols>
  <sheetData>
    <row r="1" spans="1:13" x14ac:dyDescent="0.35">
      <c r="A1" t="s">
        <v>70</v>
      </c>
    </row>
    <row r="2" spans="1:13" x14ac:dyDescent="0.35">
      <c r="G2" t="s">
        <v>61</v>
      </c>
      <c r="L2" s="29"/>
      <c r="M2" s="29"/>
    </row>
    <row r="3" spans="1:13" x14ac:dyDescent="0.35">
      <c r="A3" s="3"/>
      <c r="B3" s="1" t="s">
        <v>64</v>
      </c>
      <c r="D3" s="3" t="s">
        <v>27</v>
      </c>
      <c r="E3" s="3" t="s">
        <v>14</v>
      </c>
      <c r="G3" t="s">
        <v>29</v>
      </c>
      <c r="L3" s="29"/>
      <c r="M3" s="29"/>
    </row>
    <row r="4" spans="1:13" x14ac:dyDescent="0.35">
      <c r="B4" s="4">
        <f>IF('Q3 data '!$B$2=-0.2, "", 'Q3 data '!$B$2)</f>
        <v>1.2E-2</v>
      </c>
      <c r="D4" t="s">
        <v>29</v>
      </c>
      <c r="E4" s="4">
        <f>AVERAGE(B4:B39)</f>
        <v>5.4857142857142856E-3</v>
      </c>
      <c r="G4" t="s">
        <v>62</v>
      </c>
      <c r="L4" s="29"/>
      <c r="M4" s="29"/>
    </row>
    <row r="5" spans="1:13" x14ac:dyDescent="0.35">
      <c r="B5" s="4">
        <f>IF('Q3 data '!$B$3=-0.2, "", 'Q3 data '!$B$3)</f>
        <v>-8.0000000000000002E-3</v>
      </c>
      <c r="D5" t="s">
        <v>31</v>
      </c>
      <c r="E5" s="4">
        <f>_xlfn.STDEV.S(B4:B39)</f>
        <v>1.1964091933712284E-2</v>
      </c>
      <c r="G5" t="s">
        <v>63</v>
      </c>
      <c r="L5" s="29"/>
      <c r="M5" s="29"/>
    </row>
    <row r="6" spans="1:13" x14ac:dyDescent="0.35">
      <c r="B6" s="4">
        <f>IF('Q3 data '!$B$4=-0.2, "", 'Q3 data '!$B$4)</f>
        <v>1.4999999999999999E-2</v>
      </c>
      <c r="D6" t="s">
        <v>32</v>
      </c>
      <c r="E6" s="4">
        <f>-_xlfn.PERCENTILE.INC(B4:B39,0.05)</f>
        <v>1.35E-2</v>
      </c>
      <c r="L6" s="29">
        <v>7</v>
      </c>
      <c r="M6" s="29" t="s">
        <v>60</v>
      </c>
    </row>
    <row r="7" spans="1:13" x14ac:dyDescent="0.35">
      <c r="B7" s="4">
        <f>IF('Q3 data '!$B$5=-0.2, "", 'Q3 data '!$B$5)</f>
        <v>8.9999999999999993E-3</v>
      </c>
    </row>
    <row r="8" spans="1:13" x14ac:dyDescent="0.35">
      <c r="B8" s="4">
        <f>IF('Q3 data '!$B$6=-0.2, "", 'Q3 data '!$B$6)</f>
        <v>-2.1999999999999999E-2</v>
      </c>
    </row>
    <row r="9" spans="1:13" x14ac:dyDescent="0.35">
      <c r="B9" s="4">
        <f>IF('Q3 data '!$B$7=-0.2, "", 'Q3 data '!$B$7)</f>
        <v>3.1E-2</v>
      </c>
    </row>
    <row r="10" spans="1:13" x14ac:dyDescent="0.35">
      <c r="B10" s="4">
        <f>IF('Q3 data '!$B$8=-0.2, "", 'Q3 data '!$B$8)</f>
        <v>4.0000000000000001E-3</v>
      </c>
    </row>
    <row r="11" spans="1:13" x14ac:dyDescent="0.35">
      <c r="B11" s="4">
        <f>IF('Q3 data '!$B$9=-0.2, "", 'Q3 data '!$B$9)</f>
        <v>-1.0999999999999999E-2</v>
      </c>
    </row>
    <row r="12" spans="1:13" x14ac:dyDescent="0.35">
      <c r="B12" s="4">
        <f>IF('Q3 data '!$B$10=-0.2, "", 'Q3 data '!$B$10)</f>
        <v>1.7999999999999999E-2</v>
      </c>
    </row>
    <row r="13" spans="1:13" x14ac:dyDescent="0.35">
      <c r="B13" s="4">
        <f>IF('Q3 data '!$B$11=-0.2, "", 'Q3 data '!$B$11)</f>
        <v>7.0000000000000001E-3</v>
      </c>
    </row>
    <row r="14" spans="1:13" x14ac:dyDescent="0.35">
      <c r="B14" s="4">
        <f>IF('Q3 data '!$B$12=-0.2, "", 'Q3 data '!$B$12)</f>
        <v>-6.0000000000000001E-3</v>
      </c>
    </row>
    <row r="15" spans="1:13" x14ac:dyDescent="0.35">
      <c r="B15" s="4">
        <f>IF('Q3 data '!$B$13=-0.2, "", 'Q3 data '!$B$13)</f>
        <v>1.2999999999999999E-2</v>
      </c>
    </row>
    <row r="16" spans="1:13" x14ac:dyDescent="0.35">
      <c r="B16" s="4">
        <f>IF('Q3 data '!$B$14=-0.2, "", 'Q3 data '!$B$14)</f>
        <v>0.01</v>
      </c>
    </row>
    <row r="17" spans="2:2" x14ac:dyDescent="0.35">
      <c r="B17" s="4">
        <f>IF('Q3 data '!$B$15=-0.2, "", 'Q3 data '!$B$15)</f>
        <v>5.0000000000000001E-3</v>
      </c>
    </row>
    <row r="18" spans="2:2" x14ac:dyDescent="0.35">
      <c r="B18" s="4">
        <f>IF('Q3 data '!$B$16=-0.2, "", 'Q3 data '!$B$16)</f>
        <v>-1.7000000000000001E-2</v>
      </c>
    </row>
    <row r="19" spans="2:2" x14ac:dyDescent="0.35">
      <c r="B19" s="4">
        <f>IF('Q3 data '!$B$17=-0.2, "", 'Q3 data '!$B$17)</f>
        <v>2.1999999999999999E-2</v>
      </c>
    </row>
    <row r="20" spans="2:2" x14ac:dyDescent="0.35">
      <c r="B20" s="4">
        <f>IF('Q3 data '!$B$18=-0.2, "", 'Q3 data '!$B$18)</f>
        <v>6.0000000000000001E-3</v>
      </c>
    </row>
    <row r="21" spans="2:2" x14ac:dyDescent="0.35">
      <c r="B21" s="4">
        <f>IF('Q3 data '!$B$19=-0.2, "", 'Q3 data '!$B$19)</f>
        <v>-4.0000000000000001E-3</v>
      </c>
    </row>
    <row r="22" spans="2:2" x14ac:dyDescent="0.35">
      <c r="B22" s="4">
        <f>IF('Q3 data '!$B$20=-0.2, "", 'Q3 data '!$B$20)</f>
        <v>1.9E-2</v>
      </c>
    </row>
    <row r="23" spans="2:2" x14ac:dyDescent="0.35">
      <c r="B23" s="4">
        <f>IF('Q3 data '!$B$21=-0.2, "", 'Q3 data '!$B$21)</f>
        <v>-1.2E-2</v>
      </c>
    </row>
    <row r="24" spans="2:2" x14ac:dyDescent="0.35">
      <c r="B24" s="4">
        <f>IF('Q3 data '!$B$22=-0.2, "", 'Q3 data '!$B$22)</f>
        <v>8.0000000000000002E-3</v>
      </c>
    </row>
    <row r="25" spans="2:2" x14ac:dyDescent="0.35">
      <c r="B25" s="4">
        <f>IF('Q3 data '!$B$23=-0.2, "", 'Q3 data '!$B$23)</f>
        <v>1.0999999999999999E-2</v>
      </c>
    </row>
    <row r="26" spans="2:2" x14ac:dyDescent="0.35">
      <c r="B26" s="4">
        <f>IF('Q3 data '!$B$24=-0.2, "", 'Q3 data '!$B$24)</f>
        <v>-8.9999999999999993E-3</v>
      </c>
    </row>
    <row r="27" spans="2:2" x14ac:dyDescent="0.35">
      <c r="B27" s="4">
        <f>IF('Q3 data '!$B$25=-0.2, "", 'Q3 data '!$B$25)</f>
        <v>1.4E-2</v>
      </c>
    </row>
    <row r="28" spans="2:2" x14ac:dyDescent="0.35">
      <c r="B28" s="4">
        <f>IF('Q3 data '!$B$26=-0.2, "", 'Q3 data '!$B$26)</f>
        <v>1.6E-2</v>
      </c>
    </row>
    <row r="29" spans="2:2" x14ac:dyDescent="0.35">
      <c r="B29" s="4">
        <f>IF('Q3 data '!$B$27=-0.2, "", 'Q3 data '!$B$27)</f>
        <v>8.9999999999999993E-3</v>
      </c>
    </row>
    <row r="30" spans="2:2" x14ac:dyDescent="0.35">
      <c r="B30" s="4">
        <f>IF('Q3 data '!$B$28=-0.2, "", 'Q3 data '!$B$28)</f>
        <v>-7.0000000000000001E-3</v>
      </c>
    </row>
    <row r="31" spans="2:2" x14ac:dyDescent="0.35">
      <c r="B31" s="4">
        <f>IF('Q3 data '!$B$29=-0.2, "", 'Q3 data '!$B$29)</f>
        <v>1.2E-2</v>
      </c>
    </row>
    <row r="32" spans="2:2" x14ac:dyDescent="0.35">
      <c r="B32" s="4">
        <f>IF('Q3 data '!$B$30=-0.2, "", 'Q3 data '!$B$30)</f>
        <v>-5.0000000000000001E-3</v>
      </c>
    </row>
    <row r="33" spans="2:2" x14ac:dyDescent="0.35">
      <c r="B33" s="4" t="str">
        <f>IF('Q3 data '!$B$31=-0.2, "", 'Q3 data '!$B$31)</f>
        <v/>
      </c>
    </row>
    <row r="34" spans="2:2" x14ac:dyDescent="0.35">
      <c r="B34" s="4">
        <f>IF('Q3 data '!$B$32=-0.2, "", 'Q3 data '!$B$32)</f>
        <v>1.7999999999999999E-2</v>
      </c>
    </row>
    <row r="35" spans="2:2" x14ac:dyDescent="0.35">
      <c r="B35" s="4">
        <f>IF('Q3 data '!$B$33=-0.2, "", 'Q3 data '!$B$33)</f>
        <v>6.0000000000000001E-3</v>
      </c>
    </row>
    <row r="36" spans="2:2" x14ac:dyDescent="0.35">
      <c r="B36" s="4">
        <f>IF('Q3 data '!$B$34=-0.2, "", 'Q3 data '!$B$34)</f>
        <v>-3.0000000000000001E-3</v>
      </c>
    </row>
    <row r="37" spans="2:2" x14ac:dyDescent="0.35">
      <c r="B37" s="4">
        <f>IF('Q3 data '!$B$35=-0.2, "", 'Q3 data '!$B$35)</f>
        <v>1.7000000000000001E-2</v>
      </c>
    </row>
    <row r="38" spans="2:2" x14ac:dyDescent="0.35">
      <c r="B38" s="4">
        <f>IF('Q3 data '!$B$36=-0.2, "", 'Q3 data '!$B$36)</f>
        <v>4.0000000000000001E-3</v>
      </c>
    </row>
    <row r="39" spans="2:2" x14ac:dyDescent="0.35">
      <c r="B39" s="4">
        <f>IF('Q3 data '!$B$37=-0.2, "", 'Q3 data '!$B$37)</f>
        <v>0.01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3:O11"/>
  <sheetViews>
    <sheetView workbookViewId="0">
      <selection activeCell="P3" sqref="P3"/>
    </sheetView>
  </sheetViews>
  <sheetFormatPr defaultRowHeight="14.5" x14ac:dyDescent="0.35"/>
  <sheetData>
    <row r="3" spans="1:15" x14ac:dyDescent="0.35">
      <c r="A3" s="26" t="s">
        <v>65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N3" s="29"/>
      <c r="O3" s="29"/>
    </row>
    <row r="4" spans="1:15" x14ac:dyDescent="0.3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N4" s="29"/>
      <c r="O4" s="29"/>
    </row>
    <row r="5" spans="1:15" x14ac:dyDescent="0.35">
      <c r="A5" s="6" t="s">
        <v>66</v>
      </c>
      <c r="N5" s="29"/>
      <c r="O5" s="29"/>
    </row>
    <row r="6" spans="1:15" x14ac:dyDescent="0.35">
      <c r="A6" s="6"/>
      <c r="N6" s="29"/>
      <c r="O6" s="29"/>
    </row>
    <row r="7" spans="1:15" x14ac:dyDescent="0.35">
      <c r="A7" s="6" t="s">
        <v>67</v>
      </c>
      <c r="N7" s="29"/>
      <c r="O7" s="29"/>
    </row>
    <row r="8" spans="1:15" x14ac:dyDescent="0.35">
      <c r="A8" s="17"/>
      <c r="N8" s="29"/>
      <c r="O8" s="29"/>
    </row>
    <row r="9" spans="1:15" x14ac:dyDescent="0.35">
      <c r="A9" s="18" t="s">
        <v>68</v>
      </c>
      <c r="N9" s="29"/>
      <c r="O9" s="29"/>
    </row>
    <row r="10" spans="1:15" x14ac:dyDescent="0.35">
      <c r="A10" s="17"/>
      <c r="N10" s="29"/>
      <c r="O10" s="29"/>
    </row>
    <row r="11" spans="1:15" x14ac:dyDescent="0.35">
      <c r="A11" s="18" t="s">
        <v>69</v>
      </c>
      <c r="N11" s="31" t="s">
        <v>72</v>
      </c>
      <c r="O11" s="31" t="s">
        <v>74</v>
      </c>
    </row>
  </sheetData>
  <mergeCells count="1">
    <mergeCell ref="A3:L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64123-6549-49DD-807F-E0973C31BAF0}">
  <dimension ref="A1:I7"/>
  <sheetViews>
    <sheetView workbookViewId="0">
      <selection activeCell="H6" sqref="H6"/>
    </sheetView>
  </sheetViews>
  <sheetFormatPr defaultRowHeight="14.5" x14ac:dyDescent="0.35"/>
  <cols>
    <col min="1" max="6" width="18" customWidth="1"/>
  </cols>
  <sheetData>
    <row r="1" spans="1:9" x14ac:dyDescent="0.35">
      <c r="A1" s="3"/>
    </row>
    <row r="2" spans="1:9" x14ac:dyDescent="0.35">
      <c r="A2" s="3" t="s">
        <v>0</v>
      </c>
      <c r="B2" s="3" t="s">
        <v>78</v>
      </c>
      <c r="C2" s="3" t="s">
        <v>79</v>
      </c>
      <c r="D2" s="3" t="s">
        <v>80</v>
      </c>
      <c r="E2" s="3" t="s">
        <v>76</v>
      </c>
      <c r="F2" s="3" t="s">
        <v>84</v>
      </c>
    </row>
    <row r="3" spans="1:9" x14ac:dyDescent="0.35">
      <c r="A3" t="s">
        <v>37</v>
      </c>
      <c r="B3">
        <v>100</v>
      </c>
      <c r="C3" s="20">
        <v>0.04</v>
      </c>
      <c r="D3">
        <v>2</v>
      </c>
      <c r="E3" s="20">
        <v>3.5000000000000003E-2</v>
      </c>
      <c r="F3" s="22">
        <f>PV(E3,D3,-(C3*B3),-B3)</f>
        <v>100.94984713762281</v>
      </c>
      <c r="G3" s="29"/>
      <c r="H3" s="29"/>
      <c r="I3" s="29"/>
    </row>
    <row r="4" spans="1:9" x14ac:dyDescent="0.35">
      <c r="A4" t="s">
        <v>81</v>
      </c>
      <c r="B4">
        <v>100</v>
      </c>
      <c r="C4" s="20">
        <v>0.06</v>
      </c>
      <c r="D4">
        <v>3</v>
      </c>
      <c r="E4" s="20">
        <v>0.05</v>
      </c>
      <c r="F4" s="22">
        <f>PV(E4,D4,-(C4*B4),-B4)</f>
        <v>102.72324802937048</v>
      </c>
      <c r="G4" s="29"/>
      <c r="H4" s="29"/>
      <c r="I4" s="29"/>
    </row>
    <row r="5" spans="1:9" x14ac:dyDescent="0.35">
      <c r="A5" t="s">
        <v>38</v>
      </c>
      <c r="B5">
        <v>100</v>
      </c>
      <c r="C5" s="20">
        <v>0.03</v>
      </c>
      <c r="D5">
        <v>5</v>
      </c>
      <c r="E5" s="20">
        <v>0.04</v>
      </c>
      <c r="F5" s="22">
        <f>PV(E5,D5,-(C5*B5),-B5)</f>
        <v>95.548177668983783</v>
      </c>
      <c r="G5" s="29"/>
      <c r="H5" s="29"/>
      <c r="I5" s="29"/>
    </row>
    <row r="6" spans="1:9" x14ac:dyDescent="0.35">
      <c r="G6" s="29" t="s">
        <v>95</v>
      </c>
      <c r="H6" s="29">
        <v>6</v>
      </c>
      <c r="I6" s="29" t="s">
        <v>39</v>
      </c>
    </row>
    <row r="7" spans="1:9" x14ac:dyDescent="0.35">
      <c r="G7" s="29"/>
      <c r="H7" s="29"/>
      <c r="I7" s="29"/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workbookViewId="0">
      <selection activeCell="J12" sqref="J12"/>
    </sheetView>
  </sheetViews>
  <sheetFormatPr defaultRowHeight="14.5" x14ac:dyDescent="0.35"/>
  <sheetData>
    <row r="1" spans="1:6" x14ac:dyDescent="0.35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</row>
    <row r="2" spans="1:6" x14ac:dyDescent="0.35">
      <c r="A2" t="s">
        <v>1</v>
      </c>
      <c r="B2" t="s">
        <v>25</v>
      </c>
      <c r="C2">
        <v>100</v>
      </c>
      <c r="D2">
        <v>50</v>
      </c>
      <c r="E2">
        <v>-30</v>
      </c>
      <c r="F2">
        <v>0.6</v>
      </c>
    </row>
    <row r="3" spans="1:6" x14ac:dyDescent="0.35">
      <c r="A3" t="s">
        <v>2</v>
      </c>
      <c r="B3" t="s">
        <v>26</v>
      </c>
      <c r="C3">
        <v>100</v>
      </c>
      <c r="D3">
        <v>50</v>
      </c>
      <c r="E3">
        <v>-30</v>
      </c>
      <c r="F3">
        <v>0.6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3:J15"/>
  <sheetViews>
    <sheetView workbookViewId="0">
      <selection activeCell="B11" sqref="B11"/>
    </sheetView>
  </sheetViews>
  <sheetFormatPr defaultRowHeight="14.5" x14ac:dyDescent="0.35"/>
  <sheetData>
    <row r="3" spans="1:10" x14ac:dyDescent="0.35">
      <c r="A3" s="3" t="s">
        <v>19</v>
      </c>
      <c r="B3" s="3" t="s">
        <v>33</v>
      </c>
      <c r="C3" s="3" t="s">
        <v>34</v>
      </c>
      <c r="D3" s="3" t="s">
        <v>35</v>
      </c>
      <c r="E3" s="3" t="s">
        <v>36</v>
      </c>
      <c r="H3" s="32"/>
      <c r="I3" s="29"/>
      <c r="J3" s="29"/>
    </row>
    <row r="4" spans="1:10" x14ac:dyDescent="0.35">
      <c r="A4" t="s">
        <v>1</v>
      </c>
      <c r="B4" s="2">
        <f>'Q4 data'!$F$2*('Q4 data'!$C$2+'Q4 data'!$D$2)+(1-'Q4 data'!$F$2)*('Q4 data'!$C$2+'Q4 data'!$E$2)</f>
        <v>118</v>
      </c>
      <c r="C4" s="2">
        <f>'Q4 data'!$F$2*SQRT(('Q4 data'!$C$2+'Q4 data'!$D$2))+(1-'Q4 data'!$F$2)*SQRT(('Q4 data'!$C$2+'Q4 data'!$E$2))</f>
        <v>10.695109334485835</v>
      </c>
      <c r="D4" s="2">
        <f xml:space="preserve"> C4^2</f>
        <v>114.38536367660605</v>
      </c>
      <c r="E4" s="2">
        <f>B4-D4</f>
        <v>3.6146363233939525</v>
      </c>
      <c r="H4" s="29"/>
      <c r="I4" s="29"/>
      <c r="J4" s="29"/>
    </row>
    <row r="5" spans="1:10" x14ac:dyDescent="0.35">
      <c r="A5" t="s">
        <v>2</v>
      </c>
      <c r="B5" s="2">
        <f>'Q4 data'!$F$3*('Q4 data'!$C$3+'Q4 data'!$D$3)+(1-'Q4 data'!$F$3)*('Q4 data'!$C$3+'Q4 data'!$E$3)</f>
        <v>118</v>
      </c>
      <c r="C5" s="2">
        <f xml:space="preserve"> 'Q4 data'!$F$3*LN(('Q4 data'!$C$3+'Q4 data'!$D$3))+(1-'Q4 data'!$F$3)*LN(('Q4 data'!$C$3+'Q4 data'!$E$3))</f>
        <v>4.7057792732774963</v>
      </c>
      <c r="D5" s="2">
        <f xml:space="preserve"> EXP(C5)</f>
        <v>110.58442686782972</v>
      </c>
      <c r="E5" s="2">
        <f>B5-D5</f>
        <v>7.4155731321702802</v>
      </c>
      <c r="H5" s="29"/>
      <c r="I5" s="29"/>
      <c r="J5" s="29"/>
    </row>
    <row r="6" spans="1:10" x14ac:dyDescent="0.35">
      <c r="H6" s="29"/>
      <c r="I6" s="29"/>
      <c r="J6" s="29"/>
    </row>
    <row r="7" spans="1:10" x14ac:dyDescent="0.35">
      <c r="H7" s="29"/>
      <c r="I7" s="29"/>
      <c r="J7" s="29"/>
    </row>
    <row r="11" spans="1:10" x14ac:dyDescent="0.35">
      <c r="B11" t="s">
        <v>102</v>
      </c>
    </row>
    <row r="12" spans="1:10" x14ac:dyDescent="0.35">
      <c r="B12" s="25" t="s">
        <v>103</v>
      </c>
    </row>
    <row r="13" spans="1:10" x14ac:dyDescent="0.35">
      <c r="B13" s="25" t="s">
        <v>101</v>
      </c>
    </row>
    <row r="15" spans="1:10" x14ac:dyDescent="0.35">
      <c r="B15" s="31" t="s">
        <v>71</v>
      </c>
      <c r="C15" s="31">
        <v>10</v>
      </c>
      <c r="D15" s="31" t="s">
        <v>39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147F-958D-4B2D-B58E-BCEA3C247D66}">
  <dimension ref="A1:H23"/>
  <sheetViews>
    <sheetView topLeftCell="A10" workbookViewId="0">
      <selection activeCell="B17" sqref="B17:E22"/>
    </sheetView>
  </sheetViews>
  <sheetFormatPr defaultRowHeight="14.5" x14ac:dyDescent="0.35"/>
  <cols>
    <col min="1" max="3" width="18" customWidth="1"/>
    <col min="4" max="4" width="23.1796875" bestFit="1" customWidth="1"/>
    <col min="5" max="6" width="18" customWidth="1"/>
    <col min="7" max="7" width="2.81640625" bestFit="1" customWidth="1"/>
    <col min="8" max="9" width="18" customWidth="1"/>
  </cols>
  <sheetData>
    <row r="1" spans="1:8" x14ac:dyDescent="0.35">
      <c r="A1" s="3"/>
    </row>
    <row r="2" spans="1:8" x14ac:dyDescent="0.35">
      <c r="A2" s="3" t="s">
        <v>78</v>
      </c>
      <c r="B2" s="3" t="s">
        <v>79</v>
      </c>
      <c r="C2" s="3" t="s">
        <v>80</v>
      </c>
    </row>
    <row r="3" spans="1:8" x14ac:dyDescent="0.35">
      <c r="A3">
        <v>100</v>
      </c>
      <c r="B3" s="20">
        <v>0.04</v>
      </c>
      <c r="C3">
        <v>2</v>
      </c>
    </row>
    <row r="5" spans="1:8" x14ac:dyDescent="0.35">
      <c r="A5" s="3" t="s">
        <v>44</v>
      </c>
      <c r="B5" s="3" t="s">
        <v>83</v>
      </c>
      <c r="C5" s="3" t="s">
        <v>85</v>
      </c>
      <c r="D5" s="3" t="s">
        <v>86</v>
      </c>
      <c r="E5" s="3" t="s">
        <v>87</v>
      </c>
    </row>
    <row r="6" spans="1:8" x14ac:dyDescent="0.35">
      <c r="A6">
        <v>1</v>
      </c>
      <c r="B6" s="20">
        <v>0.03</v>
      </c>
      <c r="C6" s="23">
        <f>1/POWER(1+B6,A6)</f>
        <v>0.970873786407767</v>
      </c>
      <c r="D6" s="22">
        <f>IF(A6&lt;= $C$3, $B$3*$A$3, 0)+IF(A6=$C$3, $A$3, 0)</f>
        <v>4</v>
      </c>
      <c r="E6" s="22">
        <f>D6*C6</f>
        <v>3.883495145631068</v>
      </c>
      <c r="F6" s="29"/>
      <c r="G6" s="29"/>
      <c r="H6" s="29"/>
    </row>
    <row r="7" spans="1:8" x14ac:dyDescent="0.35">
      <c r="A7">
        <v>2</v>
      </c>
      <c r="B7" s="20">
        <v>3.2000000000000001E-2</v>
      </c>
      <c r="C7" s="23">
        <f>1/POWER(1+B7,A7)</f>
        <v>0.9389459768042786</v>
      </c>
      <c r="D7" s="22">
        <f>IF(A7&lt;= $C$3, $B$3*$A$3, 0)+IF(A7=$C$3, $A$3, 0)</f>
        <v>104</v>
      </c>
      <c r="E7" s="22">
        <f>D7*C7</f>
        <v>97.650381587644972</v>
      </c>
      <c r="F7" s="29"/>
      <c r="G7" s="29"/>
      <c r="H7" s="29"/>
    </row>
    <row r="8" spans="1:8" x14ac:dyDescent="0.35">
      <c r="A8">
        <v>3</v>
      </c>
      <c r="B8" s="20">
        <v>3.4000000000000002E-2</v>
      </c>
      <c r="C8" s="23">
        <f>1/POWER(1+B8,A8)</f>
        <v>0.9045620923369313</v>
      </c>
      <c r="D8" s="22">
        <f>IF(A8&lt;= $C$3, $B$3*$A$3, 0)+IF(A8=$C$3, $A$3, 0)</f>
        <v>0</v>
      </c>
      <c r="E8" s="22">
        <f>D8*C8</f>
        <v>0</v>
      </c>
      <c r="F8" s="29"/>
      <c r="G8" s="29"/>
      <c r="H8" s="29"/>
    </row>
    <row r="9" spans="1:8" x14ac:dyDescent="0.35">
      <c r="A9">
        <v>4</v>
      </c>
      <c r="B9" s="20">
        <v>3.5000000000000003E-2</v>
      </c>
      <c r="C9" s="23">
        <f>1/POWER(1+B9,A9)</f>
        <v>0.87144222769857238</v>
      </c>
      <c r="D9" s="22">
        <f>IF(A9&lt;= $C$3, $B$3*$A$3, 0)+IF(A9=$C$3, $A$3, 0)</f>
        <v>0</v>
      </c>
      <c r="E9" s="22">
        <f>D9*C9</f>
        <v>0</v>
      </c>
      <c r="F9" s="29"/>
      <c r="G9" s="29"/>
      <c r="H9" s="29"/>
    </row>
    <row r="10" spans="1:8" x14ac:dyDescent="0.35">
      <c r="A10">
        <v>5</v>
      </c>
      <c r="B10" s="20">
        <v>3.5999999999999997E-2</v>
      </c>
      <c r="C10" s="23">
        <f>1/POWER(1+B10,A10)</f>
        <v>0.83791742697326266</v>
      </c>
      <c r="D10" s="22">
        <f>IF(A10&lt;= $C$3, $B$3*$A$3, 0)+IF(A10=$C$3, $A$3, 0)</f>
        <v>0</v>
      </c>
      <c r="E10" s="22">
        <f>D10*C10</f>
        <v>0</v>
      </c>
      <c r="F10" s="29"/>
      <c r="G10" s="29"/>
      <c r="H10" s="29"/>
    </row>
    <row r="11" spans="1:8" x14ac:dyDescent="0.35">
      <c r="D11" t="s">
        <v>88</v>
      </c>
      <c r="E11" s="22">
        <f>SUM(E6:E10)</f>
        <v>101.53387673327605</v>
      </c>
      <c r="F11" s="29"/>
      <c r="G11" s="29"/>
      <c r="H11" s="29"/>
    </row>
    <row r="12" spans="1:8" x14ac:dyDescent="0.35">
      <c r="D12" t="s">
        <v>89</v>
      </c>
      <c r="E12" s="22">
        <f>'Q1 a)'!F3</f>
        <v>100.94984713762281</v>
      </c>
      <c r="F12" s="29"/>
      <c r="G12" s="29"/>
      <c r="H12" s="29"/>
    </row>
    <row r="13" spans="1:8" x14ac:dyDescent="0.35">
      <c r="D13" t="s">
        <v>90</v>
      </c>
      <c r="E13" s="22">
        <f>E12-E11</f>
        <v>-0.58402959565323442</v>
      </c>
      <c r="F13" s="29"/>
      <c r="G13" s="29"/>
      <c r="H13" s="29"/>
    </row>
    <row r="14" spans="1:8" x14ac:dyDescent="0.35">
      <c r="F14" s="29"/>
      <c r="G14" s="29"/>
      <c r="H14" s="29"/>
    </row>
    <row r="15" spans="1:8" x14ac:dyDescent="0.35">
      <c r="F15" s="29"/>
      <c r="G15" s="29"/>
      <c r="H15" s="29"/>
    </row>
    <row r="16" spans="1:8" x14ac:dyDescent="0.35">
      <c r="F16" s="29"/>
      <c r="G16" s="29"/>
      <c r="H16" s="29"/>
    </row>
    <row r="17" spans="2:8" x14ac:dyDescent="0.35">
      <c r="B17" s="26" t="s">
        <v>94</v>
      </c>
      <c r="C17" s="26"/>
      <c r="D17" s="26"/>
      <c r="E17" s="26"/>
      <c r="F17" s="29"/>
      <c r="G17" s="29"/>
      <c r="H17" s="29"/>
    </row>
    <row r="18" spans="2:8" x14ac:dyDescent="0.35">
      <c r="B18" s="26"/>
      <c r="C18" s="26"/>
      <c r="D18" s="26"/>
      <c r="E18" s="26"/>
      <c r="F18" s="29"/>
      <c r="G18" s="29"/>
      <c r="H18" s="29"/>
    </row>
    <row r="19" spans="2:8" x14ac:dyDescent="0.35">
      <c r="B19" s="26"/>
      <c r="C19" s="26"/>
      <c r="D19" s="26"/>
      <c r="E19" s="26"/>
      <c r="F19" s="29"/>
      <c r="G19" s="29"/>
      <c r="H19" s="29"/>
    </row>
    <row r="20" spans="2:8" x14ac:dyDescent="0.35">
      <c r="B20" s="26"/>
      <c r="C20" s="26"/>
      <c r="D20" s="26"/>
      <c r="E20" s="26"/>
      <c r="F20" s="29"/>
      <c r="G20" s="29"/>
      <c r="H20" s="29"/>
    </row>
    <row r="21" spans="2:8" x14ac:dyDescent="0.35">
      <c r="B21" s="26"/>
      <c r="C21" s="26"/>
      <c r="D21" s="26"/>
      <c r="E21" s="26"/>
      <c r="F21" s="29"/>
      <c r="G21" s="29"/>
      <c r="H21" s="29"/>
    </row>
    <row r="22" spans="2:8" x14ac:dyDescent="0.35">
      <c r="B22" s="26"/>
      <c r="C22" s="26"/>
      <c r="D22" s="26"/>
      <c r="E22" s="26"/>
      <c r="F22" s="29"/>
      <c r="G22" s="29"/>
      <c r="H22" s="29"/>
    </row>
    <row r="23" spans="2:8" x14ac:dyDescent="0.35">
      <c r="F23" s="29" t="s">
        <v>95</v>
      </c>
      <c r="G23" s="29">
        <v>10</v>
      </c>
      <c r="H23" s="29" t="s">
        <v>39</v>
      </c>
    </row>
  </sheetData>
  <mergeCells count="1">
    <mergeCell ref="B17:E2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B23AD-9E81-4ED7-A49F-F59EA0212F5C}">
  <dimension ref="A1:H7"/>
  <sheetViews>
    <sheetView workbookViewId="0">
      <selection activeCell="G2" sqref="G2"/>
    </sheetView>
  </sheetViews>
  <sheetFormatPr defaultRowHeight="14.5" x14ac:dyDescent="0.35"/>
  <cols>
    <col min="1" max="5" width="18" customWidth="1"/>
  </cols>
  <sheetData>
    <row r="1" spans="1:8" x14ac:dyDescent="0.35">
      <c r="A1" s="3"/>
    </row>
    <row r="2" spans="1:8" x14ac:dyDescent="0.35">
      <c r="A2" s="3" t="s">
        <v>44</v>
      </c>
      <c r="B2" s="3" t="s">
        <v>83</v>
      </c>
      <c r="D2" t="s">
        <v>91</v>
      </c>
      <c r="E2" s="20">
        <f>((1+B5)^3/(1+B4)^2)-1</f>
        <v>3.8011635418544687E-2</v>
      </c>
      <c r="G2" s="29">
        <v>4</v>
      </c>
      <c r="H2" s="29" t="s">
        <v>39</v>
      </c>
    </row>
    <row r="3" spans="1:8" x14ac:dyDescent="0.35">
      <c r="A3">
        <v>1</v>
      </c>
      <c r="B3" s="20">
        <v>0.03</v>
      </c>
    </row>
    <row r="4" spans="1:8" x14ac:dyDescent="0.35">
      <c r="A4">
        <v>2</v>
      </c>
      <c r="B4" s="20">
        <v>3.2000000000000001E-2</v>
      </c>
    </row>
    <row r="5" spans="1:8" x14ac:dyDescent="0.35">
      <c r="A5">
        <v>3</v>
      </c>
      <c r="B5" s="20">
        <v>3.4000000000000002E-2</v>
      </c>
    </row>
    <row r="6" spans="1:8" x14ac:dyDescent="0.35">
      <c r="A6">
        <v>4</v>
      </c>
      <c r="B6" s="20">
        <v>3.5000000000000003E-2</v>
      </c>
    </row>
    <row r="7" spans="1:8" x14ac:dyDescent="0.35">
      <c r="A7">
        <v>5</v>
      </c>
      <c r="B7" s="20">
        <v>3.5999999999999997E-2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37D40-4A34-4AC3-AD19-ABE1448A55F8}">
  <dimension ref="A1:H28"/>
  <sheetViews>
    <sheetView topLeftCell="A10" workbookViewId="0">
      <selection activeCell="F28" sqref="F28"/>
    </sheetView>
  </sheetViews>
  <sheetFormatPr defaultRowHeight="14.5" x14ac:dyDescent="0.35"/>
  <cols>
    <col min="1" max="3" width="18" customWidth="1"/>
    <col min="4" max="4" width="20.7265625" bestFit="1" customWidth="1"/>
    <col min="5" max="8" width="18" customWidth="1"/>
  </cols>
  <sheetData>
    <row r="1" spans="1:8" x14ac:dyDescent="0.35">
      <c r="A1" s="3"/>
    </row>
    <row r="2" spans="1:8" x14ac:dyDescent="0.35">
      <c r="A2" t="s">
        <v>78</v>
      </c>
      <c r="B2">
        <v>100</v>
      </c>
    </row>
    <row r="3" spans="1:8" x14ac:dyDescent="0.35">
      <c r="A3" t="s">
        <v>79</v>
      </c>
      <c r="B3" s="20">
        <v>0.06</v>
      </c>
    </row>
    <row r="4" spans="1:8" x14ac:dyDescent="0.35">
      <c r="A4" t="s">
        <v>80</v>
      </c>
      <c r="B4">
        <v>3</v>
      </c>
    </row>
    <row r="5" spans="1:8" x14ac:dyDescent="0.35">
      <c r="A5" t="s">
        <v>76</v>
      </c>
      <c r="B5" s="20">
        <v>0.05</v>
      </c>
    </row>
    <row r="8" spans="1:8" x14ac:dyDescent="0.35">
      <c r="A8" s="3" t="s">
        <v>44</v>
      </c>
      <c r="B8" s="3" t="s">
        <v>83</v>
      </c>
      <c r="C8" s="3" t="s">
        <v>85</v>
      </c>
      <c r="D8" s="3" t="s">
        <v>86</v>
      </c>
      <c r="E8" s="3" t="s">
        <v>87</v>
      </c>
    </row>
    <row r="9" spans="1:8" x14ac:dyDescent="0.35">
      <c r="A9">
        <v>1</v>
      </c>
      <c r="B9" s="20">
        <v>0.03</v>
      </c>
      <c r="C9" s="23">
        <f>1/POWER(1+B9,A9)</f>
        <v>0.970873786407767</v>
      </c>
      <c r="D9" s="22">
        <f>IF(A9&lt;=$B$4,$B$3*$B$2,0)+IF(A9=$B$4,$B$2,0)</f>
        <v>6</v>
      </c>
      <c r="E9" s="22">
        <f>D9*C9</f>
        <v>5.825242718446602</v>
      </c>
      <c r="G9" s="29"/>
      <c r="H9" s="29"/>
    </row>
    <row r="10" spans="1:8" x14ac:dyDescent="0.35">
      <c r="A10">
        <v>2</v>
      </c>
      <c r="B10" s="20">
        <v>3.2000000000000001E-2</v>
      </c>
      <c r="C10" s="23">
        <f>1/POWER(1+B10,A10)</f>
        <v>0.9389459768042786</v>
      </c>
      <c r="D10" s="22">
        <f>IF(A10&lt;=$B$4,$B$3*$B$2,0)+IF(A10=$B$4,$B$2,0)</f>
        <v>6</v>
      </c>
      <c r="E10" s="22">
        <f>D10*C10</f>
        <v>5.6336758608256714</v>
      </c>
      <c r="G10" s="29"/>
      <c r="H10" s="29"/>
    </row>
    <row r="11" spans="1:8" x14ac:dyDescent="0.35">
      <c r="A11">
        <v>3</v>
      </c>
      <c r="B11" s="20">
        <v>3.4000000000000002E-2</v>
      </c>
      <c r="C11" s="23">
        <f>1/POWER(1+B11,A11)</f>
        <v>0.9045620923369313</v>
      </c>
      <c r="D11" s="22">
        <f>IF(A11&lt;=$B$4,$B$3*$B$2,0)+IF(A11=$B$4,$B$2,0)</f>
        <v>106</v>
      </c>
      <c r="E11" s="22">
        <f>D11*C11</f>
        <v>95.883581787714718</v>
      </c>
      <c r="G11" s="29"/>
      <c r="H11" s="29"/>
    </row>
    <row r="12" spans="1:8" x14ac:dyDescent="0.35">
      <c r="A12">
        <v>4</v>
      </c>
      <c r="B12" s="20">
        <v>3.5000000000000003E-2</v>
      </c>
      <c r="C12" s="23">
        <f>1/POWER(1+B12,A12)</f>
        <v>0.87144222769857238</v>
      </c>
      <c r="D12" s="22">
        <f>IF(A12&lt;=$B$4,$B$3*$B$2,0)+IF(A12=$B$4,$B$2,0)</f>
        <v>0</v>
      </c>
      <c r="E12" s="22">
        <f>D12*C12</f>
        <v>0</v>
      </c>
      <c r="G12" s="29"/>
      <c r="H12" s="29"/>
    </row>
    <row r="13" spans="1:8" x14ac:dyDescent="0.35">
      <c r="A13">
        <v>5</v>
      </c>
      <c r="B13" s="20">
        <v>3.5999999999999997E-2</v>
      </c>
      <c r="C13" s="23">
        <f>1/POWER(1+B13,A13)</f>
        <v>0.83791742697326266</v>
      </c>
      <c r="D13" s="22">
        <f>IF(A13&lt;=$B$4,$B$3*$B$2,0)+IF(A13=$B$4,$B$2,0)</f>
        <v>0</v>
      </c>
      <c r="E13" s="22">
        <f>D13*C13</f>
        <v>0</v>
      </c>
      <c r="G13" s="29"/>
      <c r="H13" s="29"/>
    </row>
    <row r="14" spans="1:8" x14ac:dyDescent="0.35">
      <c r="D14" t="s">
        <v>92</v>
      </c>
      <c r="E14" s="22">
        <f>SUM(E9:E13)</f>
        <v>107.342500366987</v>
      </c>
      <c r="G14" s="29"/>
      <c r="H14" s="29"/>
    </row>
    <row r="15" spans="1:8" x14ac:dyDescent="0.35">
      <c r="D15" t="s">
        <v>93</v>
      </c>
      <c r="E15" s="22">
        <f>'Q1 a)'!F4</f>
        <v>102.72324802937048</v>
      </c>
      <c r="G15" s="29"/>
      <c r="H15" s="29"/>
    </row>
    <row r="16" spans="1:8" x14ac:dyDescent="0.35">
      <c r="D16" t="s">
        <v>90</v>
      </c>
      <c r="E16" s="22">
        <f>E15-E14</f>
        <v>-4.6192523376165155</v>
      </c>
      <c r="G16" s="29"/>
      <c r="H16" s="29"/>
    </row>
    <row r="17" spans="2:8" x14ac:dyDescent="0.35">
      <c r="G17" s="29"/>
      <c r="H17" s="29"/>
    </row>
    <row r="18" spans="2:8" x14ac:dyDescent="0.35">
      <c r="G18" s="29"/>
      <c r="H18" s="29"/>
    </row>
    <row r="19" spans="2:8" x14ac:dyDescent="0.35">
      <c r="B19" s="27" t="s">
        <v>96</v>
      </c>
      <c r="C19" s="27"/>
      <c r="D19" s="27"/>
      <c r="E19" s="27"/>
      <c r="F19" s="27"/>
      <c r="G19" s="29"/>
      <c r="H19" s="29"/>
    </row>
    <row r="20" spans="2:8" x14ac:dyDescent="0.35">
      <c r="B20" s="27"/>
      <c r="C20" s="27"/>
      <c r="D20" s="27"/>
      <c r="E20" s="27"/>
      <c r="F20" s="27"/>
      <c r="G20" s="29"/>
      <c r="H20" s="29"/>
    </row>
    <row r="21" spans="2:8" x14ac:dyDescent="0.35">
      <c r="B21" s="24"/>
      <c r="C21" s="24"/>
      <c r="D21" s="24"/>
      <c r="E21" s="24"/>
      <c r="F21" s="24"/>
      <c r="G21" s="29"/>
      <c r="H21" s="29"/>
    </row>
    <row r="22" spans="2:8" x14ac:dyDescent="0.35">
      <c r="B22" s="6" t="s">
        <v>97</v>
      </c>
      <c r="G22" s="29"/>
      <c r="H22" s="29"/>
    </row>
    <row r="23" spans="2:8" x14ac:dyDescent="0.35">
      <c r="B23" s="6" t="s">
        <v>98</v>
      </c>
      <c r="G23" s="29"/>
      <c r="H23" s="29"/>
    </row>
    <row r="24" spans="2:8" x14ac:dyDescent="0.35">
      <c r="B24" s="6" t="s">
        <v>99</v>
      </c>
      <c r="G24" s="29"/>
      <c r="H24" s="29"/>
    </row>
    <row r="25" spans="2:8" x14ac:dyDescent="0.35">
      <c r="G25" s="29"/>
      <c r="H25" s="29"/>
    </row>
    <row r="26" spans="2:8" x14ac:dyDescent="0.35">
      <c r="B26" s="6" t="s">
        <v>100</v>
      </c>
      <c r="G26" s="29"/>
      <c r="H26" s="29"/>
    </row>
    <row r="27" spans="2:8" x14ac:dyDescent="0.35">
      <c r="G27" s="29"/>
      <c r="H27" s="29"/>
    </row>
    <row r="28" spans="2:8" x14ac:dyDescent="0.35">
      <c r="F28" s="30" t="s">
        <v>71</v>
      </c>
      <c r="G28" s="29">
        <v>10</v>
      </c>
      <c r="H28" s="29" t="s">
        <v>39</v>
      </c>
    </row>
  </sheetData>
  <mergeCells count="1">
    <mergeCell ref="B19:F20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"/>
  <sheetViews>
    <sheetView topLeftCell="A4" zoomScale="85" zoomScaleNormal="85" workbookViewId="0">
      <selection activeCell="L15" sqref="L15"/>
    </sheetView>
  </sheetViews>
  <sheetFormatPr defaultRowHeight="14.5" x14ac:dyDescent="0.35"/>
  <cols>
    <col min="12" max="12" width="34.54296875" bestFit="1" customWidth="1"/>
  </cols>
  <sheetData>
    <row r="1" spans="1:13" x14ac:dyDescent="0.3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L1" t="s">
        <v>13</v>
      </c>
      <c r="M1" t="s">
        <v>14</v>
      </c>
    </row>
    <row r="2" spans="1:13" x14ac:dyDescent="0.35">
      <c r="A2">
        <v>2019</v>
      </c>
      <c r="B2">
        <v>25</v>
      </c>
      <c r="C2">
        <v>43</v>
      </c>
      <c r="D2">
        <v>52</v>
      </c>
      <c r="E2">
        <v>58.5</v>
      </c>
      <c r="F2">
        <v>62.4</v>
      </c>
      <c r="G2">
        <v>65</v>
      </c>
      <c r="L2" t="s">
        <v>15</v>
      </c>
      <c r="M2">
        <v>0.3</v>
      </c>
    </row>
    <row r="3" spans="1:13" x14ac:dyDescent="0.35">
      <c r="A3">
        <v>2020</v>
      </c>
      <c r="B3">
        <v>28</v>
      </c>
      <c r="C3">
        <v>46</v>
      </c>
      <c r="D3">
        <v>56</v>
      </c>
      <c r="E3">
        <v>63</v>
      </c>
      <c r="F3">
        <v>67.5</v>
      </c>
      <c r="G3">
        <v>70</v>
      </c>
      <c r="L3" t="s">
        <v>16</v>
      </c>
      <c r="M3">
        <v>1.03</v>
      </c>
    </row>
    <row r="4" spans="1:13" x14ac:dyDescent="0.35">
      <c r="A4">
        <v>2021</v>
      </c>
      <c r="B4">
        <v>30</v>
      </c>
      <c r="C4">
        <v>50</v>
      </c>
      <c r="D4">
        <v>70</v>
      </c>
      <c r="E4">
        <v>75</v>
      </c>
      <c r="F4">
        <v>79</v>
      </c>
    </row>
    <row r="5" spans="1:13" x14ac:dyDescent="0.35">
      <c r="A5">
        <v>2022</v>
      </c>
      <c r="B5">
        <v>22</v>
      </c>
      <c r="C5">
        <v>40</v>
      </c>
      <c r="D5">
        <v>50</v>
      </c>
      <c r="E5">
        <v>60</v>
      </c>
    </row>
    <row r="6" spans="1:13" x14ac:dyDescent="0.35">
      <c r="A6">
        <v>2023</v>
      </c>
      <c r="B6">
        <v>20</v>
      </c>
      <c r="C6">
        <v>36</v>
      </c>
      <c r="D6">
        <v>44</v>
      </c>
    </row>
    <row r="7" spans="1:13" x14ac:dyDescent="0.35">
      <c r="A7">
        <v>2024</v>
      </c>
      <c r="B7">
        <v>18</v>
      </c>
      <c r="C7">
        <v>32</v>
      </c>
    </row>
    <row r="8" spans="1:13" x14ac:dyDescent="0.35">
      <c r="A8">
        <v>2025</v>
      </c>
      <c r="B8">
        <v>19</v>
      </c>
    </row>
    <row r="10" spans="1:13" ht="58" x14ac:dyDescent="0.35">
      <c r="A10" s="7" t="s">
        <v>10</v>
      </c>
      <c r="B10" t="s">
        <v>11</v>
      </c>
      <c r="C10" s="7" t="s">
        <v>12</v>
      </c>
    </row>
    <row r="11" spans="1:13" x14ac:dyDescent="0.35">
      <c r="A11">
        <v>2019</v>
      </c>
      <c r="B11">
        <v>100</v>
      </c>
      <c r="C11">
        <v>1</v>
      </c>
    </row>
    <row r="12" spans="1:13" x14ac:dyDescent="0.35">
      <c r="A12">
        <v>2020</v>
      </c>
      <c r="B12">
        <v>103</v>
      </c>
      <c r="C12">
        <v>1</v>
      </c>
    </row>
    <row r="13" spans="1:13" x14ac:dyDescent="0.35">
      <c r="A13">
        <v>2021</v>
      </c>
      <c r="B13">
        <v>106.09</v>
      </c>
      <c r="C13">
        <v>1</v>
      </c>
    </row>
    <row r="14" spans="1:13" x14ac:dyDescent="0.35">
      <c r="A14">
        <v>2022</v>
      </c>
      <c r="B14">
        <v>114.58</v>
      </c>
      <c r="C14">
        <v>1.1499999999999999</v>
      </c>
    </row>
    <row r="15" spans="1:13" x14ac:dyDescent="0.35">
      <c r="A15">
        <v>2023</v>
      </c>
      <c r="B15">
        <v>123.74</v>
      </c>
      <c r="C15">
        <v>1.1499999999999999</v>
      </c>
    </row>
    <row r="16" spans="1:13" x14ac:dyDescent="0.35">
      <c r="A16">
        <v>2024</v>
      </c>
      <c r="B16">
        <v>133.63999999999999</v>
      </c>
      <c r="C16">
        <v>1.1499999999999999</v>
      </c>
    </row>
    <row r="17" spans="1:3" x14ac:dyDescent="0.35">
      <c r="A17">
        <v>2025</v>
      </c>
      <c r="B17">
        <v>144.33000000000001</v>
      </c>
      <c r="C17">
        <v>1.1499999999999999</v>
      </c>
    </row>
    <row r="18" spans="1:3" x14ac:dyDescent="0.35">
      <c r="A18">
        <v>2026</v>
      </c>
      <c r="B18">
        <v>155.88</v>
      </c>
      <c r="C18">
        <v>1.1499999999999999</v>
      </c>
    </row>
    <row r="19" spans="1:3" x14ac:dyDescent="0.35">
      <c r="A19">
        <v>2027</v>
      </c>
      <c r="B19">
        <v>168.35</v>
      </c>
      <c r="C19">
        <v>1.1499999999999999</v>
      </c>
    </row>
    <row r="20" spans="1:3" x14ac:dyDescent="0.35">
      <c r="A20">
        <v>2028</v>
      </c>
      <c r="B20">
        <v>181.81</v>
      </c>
      <c r="C20">
        <v>1.1499999999999999</v>
      </c>
    </row>
    <row r="21" spans="1:3" x14ac:dyDescent="0.35">
      <c r="A21">
        <v>2029</v>
      </c>
      <c r="B21">
        <v>196.36</v>
      </c>
      <c r="C21">
        <v>1.1499999999999999</v>
      </c>
    </row>
    <row r="22" spans="1:3" x14ac:dyDescent="0.35">
      <c r="A22">
        <v>2030</v>
      </c>
      <c r="B22">
        <v>212.07</v>
      </c>
      <c r="C22">
        <v>1.1499999999999999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4:J12"/>
  <sheetViews>
    <sheetView workbookViewId="0">
      <selection activeCell="J13" sqref="J13"/>
    </sheetView>
  </sheetViews>
  <sheetFormatPr defaultRowHeight="14.5" x14ac:dyDescent="0.35"/>
  <cols>
    <col min="2" max="2" width="12.08984375" bestFit="1" customWidth="1"/>
  </cols>
  <sheetData>
    <row r="4" spans="2:10" x14ac:dyDescent="0.35"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2:10" x14ac:dyDescent="0.35">
      <c r="B5">
        <v>2019</v>
      </c>
      <c r="C5">
        <f>'Q2 data'!B2</f>
        <v>25</v>
      </c>
      <c r="D5">
        <f>'Q2 data'!C2</f>
        <v>43</v>
      </c>
      <c r="E5">
        <f>'Q2 data'!D2</f>
        <v>52</v>
      </c>
      <c r="F5">
        <f>'Q2 data'!E2</f>
        <v>58.5</v>
      </c>
      <c r="G5">
        <f>'Q2 data'!F2</f>
        <v>62.4</v>
      </c>
      <c r="H5">
        <f>'Q2 data'!G2</f>
        <v>65</v>
      </c>
    </row>
    <row r="6" spans="2:10" x14ac:dyDescent="0.35">
      <c r="B6">
        <v>2020</v>
      </c>
      <c r="C6">
        <f>'Q2 data'!B3</f>
        <v>28</v>
      </c>
      <c r="D6">
        <f>'Q2 data'!C3</f>
        <v>46</v>
      </c>
      <c r="E6">
        <f>'Q2 data'!D3</f>
        <v>56</v>
      </c>
      <c r="F6">
        <f>'Q2 data'!E3</f>
        <v>63</v>
      </c>
      <c r="G6">
        <f>'Q2 data'!F3</f>
        <v>67.5</v>
      </c>
      <c r="H6">
        <f>'Q2 data'!G3</f>
        <v>70</v>
      </c>
    </row>
    <row r="7" spans="2:10" x14ac:dyDescent="0.35">
      <c r="B7">
        <v>2021</v>
      </c>
      <c r="C7">
        <f>'Q2 data'!B4</f>
        <v>30</v>
      </c>
      <c r="D7">
        <f>'Q2 data'!C4</f>
        <v>50</v>
      </c>
      <c r="E7">
        <f>'Q2 data'!D4</f>
        <v>70</v>
      </c>
      <c r="F7">
        <f>'Q2 data'!E4</f>
        <v>75</v>
      </c>
      <c r="G7">
        <f>'Q2 data'!F4</f>
        <v>79</v>
      </c>
    </row>
    <row r="8" spans="2:10" x14ac:dyDescent="0.35">
      <c r="B8">
        <v>2022</v>
      </c>
      <c r="C8">
        <f>'Q2 data'!B5</f>
        <v>22</v>
      </c>
      <c r="D8">
        <f>'Q2 data'!C5</f>
        <v>40</v>
      </c>
      <c r="E8">
        <f>'Q2 data'!D5</f>
        <v>50</v>
      </c>
      <c r="F8">
        <f>'Q2 data'!E5</f>
        <v>60</v>
      </c>
    </row>
    <row r="9" spans="2:10" x14ac:dyDescent="0.35">
      <c r="B9">
        <v>2023</v>
      </c>
      <c r="C9">
        <f>'Q2 data'!B6</f>
        <v>20</v>
      </c>
      <c r="D9">
        <f>'Q2 data'!C6</f>
        <v>36</v>
      </c>
      <c r="E9">
        <f>'Q2 data'!D6</f>
        <v>44</v>
      </c>
    </row>
    <row r="10" spans="2:10" x14ac:dyDescent="0.35">
      <c r="B10">
        <v>2024</v>
      </c>
      <c r="C10">
        <f>'Q2 data'!B7</f>
        <v>18</v>
      </c>
      <c r="D10">
        <f>'Q2 data'!C7</f>
        <v>32</v>
      </c>
    </row>
    <row r="11" spans="2:10" x14ac:dyDescent="0.35">
      <c r="B11">
        <v>2025</v>
      </c>
      <c r="C11">
        <v>19</v>
      </c>
    </row>
    <row r="12" spans="2:10" x14ac:dyDescent="0.35">
      <c r="B12" s="8"/>
      <c r="C12" s="8"/>
      <c r="D12" s="8">
        <f>SUM(D5:D10)/SUM(C5:C10)</f>
        <v>1.7272727272727273</v>
      </c>
      <c r="E12" s="8">
        <f>SUM(E5:E9)/SUM(D5:D9)</f>
        <v>1.2651162790697674</v>
      </c>
      <c r="F12" s="8">
        <f>SUM(F5:F8)/SUM(E5:E8)</f>
        <v>1.125</v>
      </c>
      <c r="G12" s="8">
        <f>SUM(G5:G7)/SUM(F5:F7)</f>
        <v>1.0631043256997457</v>
      </c>
      <c r="H12" s="8">
        <f>SUM(H5:H6)/SUM(G5:G6)</f>
        <v>1.0392609699769053</v>
      </c>
      <c r="J12" t="s">
        <v>104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R41"/>
  <sheetViews>
    <sheetView workbookViewId="0"/>
  </sheetViews>
  <sheetFormatPr defaultRowHeight="14.5" x14ac:dyDescent="0.35"/>
  <cols>
    <col min="16" max="16" width="35.90625" bestFit="1" customWidth="1"/>
  </cols>
  <sheetData>
    <row r="2" spans="1:18" ht="43.5" x14ac:dyDescent="0.35">
      <c r="B2" t="s">
        <v>40</v>
      </c>
      <c r="J2" s="10" t="s">
        <v>44</v>
      </c>
      <c r="K2" s="10" t="s">
        <v>11</v>
      </c>
      <c r="L2" s="11" t="s">
        <v>42</v>
      </c>
      <c r="M2" s="10" t="s">
        <v>45</v>
      </c>
    </row>
    <row r="3" spans="1:18" x14ac:dyDescent="0.35">
      <c r="A3" s="7"/>
      <c r="B3" t="s">
        <v>28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J3" s="10">
        <v>2019</v>
      </c>
      <c r="K3" s="10">
        <f>'Q2 data'!B11</f>
        <v>100</v>
      </c>
      <c r="L3" s="12">
        <f t="shared" ref="L3:L14" si="0">K3/$K$3</f>
        <v>1</v>
      </c>
      <c r="M3" s="10">
        <f>'Q2 data'!C11</f>
        <v>1</v>
      </c>
      <c r="Q3" s="19"/>
    </row>
    <row r="4" spans="1:18" x14ac:dyDescent="0.35">
      <c r="A4" s="9"/>
      <c r="B4">
        <v>2019</v>
      </c>
      <c r="C4">
        <f>'Q2 data'!B2</f>
        <v>25</v>
      </c>
      <c r="D4">
        <f>'Q2 data'!C2</f>
        <v>43</v>
      </c>
      <c r="E4">
        <f>'Q2 data'!D2</f>
        <v>52</v>
      </c>
      <c r="F4">
        <f>'Q2 data'!E2</f>
        <v>58.5</v>
      </c>
      <c r="G4">
        <f>'Q2 data'!F2</f>
        <v>62.4</v>
      </c>
      <c r="H4">
        <f>'Q2 data'!G2</f>
        <v>65</v>
      </c>
      <c r="J4" s="10">
        <f>+J3+1</f>
        <v>2020</v>
      </c>
      <c r="K4" s="10">
        <f>'Q2 data'!B12</f>
        <v>103</v>
      </c>
      <c r="L4" s="12">
        <f t="shared" si="0"/>
        <v>1.03</v>
      </c>
      <c r="M4" s="10">
        <f>'Q2 data'!C12</f>
        <v>1</v>
      </c>
    </row>
    <row r="5" spans="1:18" x14ac:dyDescent="0.35">
      <c r="A5" s="9"/>
      <c r="B5">
        <v>2020</v>
      </c>
      <c r="C5">
        <f>'Q2 data'!B3</f>
        <v>28</v>
      </c>
      <c r="D5">
        <f>'Q2 data'!C3</f>
        <v>46</v>
      </c>
      <c r="E5">
        <f>'Q2 data'!D3</f>
        <v>56</v>
      </c>
      <c r="F5">
        <f>'Q2 data'!E3</f>
        <v>63</v>
      </c>
      <c r="G5">
        <f>'Q2 data'!F3</f>
        <v>67.5</v>
      </c>
      <c r="H5">
        <f>'Q2 data'!G3</f>
        <v>70</v>
      </c>
      <c r="J5" s="10">
        <f t="shared" ref="J5:J14" si="1">+J4+1</f>
        <v>2021</v>
      </c>
      <c r="K5" s="10">
        <f>'Q2 data'!B13</f>
        <v>106.09</v>
      </c>
      <c r="L5" s="12">
        <f t="shared" si="0"/>
        <v>1.0609</v>
      </c>
      <c r="M5" s="10">
        <f>'Q2 data'!C13</f>
        <v>1</v>
      </c>
    </row>
    <row r="6" spans="1:18" x14ac:dyDescent="0.35">
      <c r="A6" s="9"/>
      <c r="B6">
        <v>2021</v>
      </c>
      <c r="C6">
        <f>'Q2 data'!B4</f>
        <v>30</v>
      </c>
      <c r="D6">
        <f>'Q2 data'!C4</f>
        <v>50</v>
      </c>
      <c r="E6">
        <f>'Q2 data'!D4</f>
        <v>70</v>
      </c>
      <c r="F6">
        <f>'Q2 data'!E4</f>
        <v>75</v>
      </c>
      <c r="G6">
        <f>'Q2 data'!F4</f>
        <v>79</v>
      </c>
      <c r="H6" t="str">
        <f>IF('Q2 data'!$G$5="","", 'Q2 data'!$G$5/((INDEX('Q2 data'!$B$12:$B$23, MATCH(#REF!+5, 'Q2 data'!$A$12:$A$23,0)) / INDEX('Q2 data'!$B$12:$B$23, MATCH(2019, 'Q2 data'!$A$12:$A$23,0)))*(0.3*INDEX('Q2 data'!$C$12:$C$23, MATCH(#REF!+5, 'Q2 data'!$A$12:$A$23,0)) + 0.7)))</f>
        <v/>
      </c>
      <c r="J6" s="10">
        <f t="shared" si="1"/>
        <v>2022</v>
      </c>
      <c r="K6" s="10">
        <f>'Q2 data'!B14</f>
        <v>114.58</v>
      </c>
      <c r="L6" s="12">
        <f t="shared" si="0"/>
        <v>1.1457999999999999</v>
      </c>
      <c r="M6" s="10">
        <f>'Q2 data'!C14</f>
        <v>1.1499999999999999</v>
      </c>
    </row>
    <row r="7" spans="1:18" x14ac:dyDescent="0.35">
      <c r="A7" s="9"/>
      <c r="B7">
        <v>2022</v>
      </c>
      <c r="C7">
        <f>'Q2 data'!B5</f>
        <v>22</v>
      </c>
      <c r="D7">
        <f>'Q2 data'!C5</f>
        <v>40</v>
      </c>
      <c r="E7">
        <f>'Q2 data'!D5</f>
        <v>50</v>
      </c>
      <c r="F7">
        <f>'Q2 data'!E5</f>
        <v>60</v>
      </c>
      <c r="H7" t="str">
        <f>IF('Q2 data'!$G$6="","", 'Q2 data'!$G$6/((INDEX('Q2 data'!$B$12:$B$23, MATCH(#REF!+5, 'Q2 data'!$A$12:$A$23,0)) / INDEX('Q2 data'!$B$12:$B$23, MATCH(2019, 'Q2 data'!$A$12:$A$23,0)))*(0.3*INDEX('Q2 data'!$C$12:$C$23, MATCH(#REF!+5, 'Q2 data'!$A$12:$A$23,0)) + 0.7)))</f>
        <v/>
      </c>
      <c r="J7" s="10">
        <f t="shared" si="1"/>
        <v>2023</v>
      </c>
      <c r="K7" s="10">
        <f>'Q2 data'!B15</f>
        <v>123.74</v>
      </c>
      <c r="L7" s="12">
        <f t="shared" si="0"/>
        <v>1.2374000000000001</v>
      </c>
      <c r="M7" s="10">
        <f>'Q2 data'!C15</f>
        <v>1.1499999999999999</v>
      </c>
    </row>
    <row r="8" spans="1:18" x14ac:dyDescent="0.35">
      <c r="A8" s="9"/>
      <c r="B8">
        <v>2023</v>
      </c>
      <c r="C8">
        <f>'Q2 data'!B6</f>
        <v>20</v>
      </c>
      <c r="D8">
        <f>'Q2 data'!C6</f>
        <v>36</v>
      </c>
      <c r="E8">
        <f>'Q2 data'!D6</f>
        <v>44</v>
      </c>
      <c r="H8" t="str">
        <f>IF('Q2 data'!$G$7="","", 'Q2 data'!$G$7/((INDEX('Q2 data'!$B$12:$B$23, MATCH(#REF!+5, 'Q2 data'!$A$12:$A$23,0)) / INDEX('Q2 data'!$B$12:$B$23, MATCH(2019, 'Q2 data'!$A$12:$A$23,0)))*(0.3*INDEX('Q2 data'!$C$12:$C$23, MATCH(#REF!+5, 'Q2 data'!$A$12:$A$23,0)) + 0.7)))</f>
        <v/>
      </c>
      <c r="J8" s="10">
        <f t="shared" si="1"/>
        <v>2024</v>
      </c>
      <c r="K8" s="10">
        <f>'Q2 data'!B16</f>
        <v>133.63999999999999</v>
      </c>
      <c r="L8" s="12">
        <f t="shared" si="0"/>
        <v>1.3363999999999998</v>
      </c>
      <c r="M8" s="10">
        <f>'Q2 data'!C16</f>
        <v>1.1499999999999999</v>
      </c>
      <c r="P8" t="s">
        <v>71</v>
      </c>
      <c r="Q8">
        <v>12</v>
      </c>
      <c r="R8" t="s">
        <v>60</v>
      </c>
    </row>
    <row r="9" spans="1:18" x14ac:dyDescent="0.35">
      <c r="A9" s="9"/>
      <c r="B9">
        <v>2024</v>
      </c>
      <c r="C9">
        <f>'Q2 data'!B7</f>
        <v>18</v>
      </c>
      <c r="D9">
        <f>'Q2 data'!C7</f>
        <v>32</v>
      </c>
      <c r="H9" t="str">
        <f>IF('Q2 data'!$G$8="","", 'Q2 data'!$G$8/((INDEX('Q2 data'!$B$12:$B$23, MATCH(#REF!+5, 'Q2 data'!$A$12:$A$23,0)) / INDEX('Q2 data'!$B$12:$B$23, MATCH(2019, 'Q2 data'!$A$12:$A$23,0)))*(0.3*INDEX('Q2 data'!$C$12:$C$23, MATCH(#REF!+5, 'Q2 data'!$A$12:$A$23,0)) + 0.7)))</f>
        <v/>
      </c>
      <c r="J9" s="10">
        <f t="shared" si="1"/>
        <v>2025</v>
      </c>
      <c r="K9" s="10">
        <f>'Q2 data'!B17</f>
        <v>144.33000000000001</v>
      </c>
      <c r="L9" s="12">
        <f t="shared" si="0"/>
        <v>1.4433</v>
      </c>
      <c r="M9" s="10">
        <f>'Q2 data'!C17</f>
        <v>1.1499999999999999</v>
      </c>
    </row>
    <row r="10" spans="1:18" x14ac:dyDescent="0.35">
      <c r="A10" s="9"/>
      <c r="B10">
        <v>2025</v>
      </c>
      <c r="C10">
        <f>'Q2 data'!B8</f>
        <v>19</v>
      </c>
      <c r="J10" s="10">
        <f t="shared" si="1"/>
        <v>2026</v>
      </c>
      <c r="K10" s="10">
        <f>'Q2 data'!B18</f>
        <v>155.88</v>
      </c>
      <c r="L10" s="12">
        <f t="shared" si="0"/>
        <v>1.5588</v>
      </c>
      <c r="M10" s="10">
        <f>'Q2 data'!C18</f>
        <v>1.1499999999999999</v>
      </c>
    </row>
    <row r="11" spans="1:18" x14ac:dyDescent="0.35">
      <c r="A11" s="9"/>
      <c r="J11" s="10">
        <f t="shared" si="1"/>
        <v>2027</v>
      </c>
      <c r="K11" s="10">
        <f>'Q2 data'!B19</f>
        <v>168.35</v>
      </c>
      <c r="L11" s="12">
        <f t="shared" si="0"/>
        <v>1.6835</v>
      </c>
      <c r="M11" s="10">
        <f>'Q2 data'!C19</f>
        <v>1.1499999999999999</v>
      </c>
    </row>
    <row r="12" spans="1:18" x14ac:dyDescent="0.35">
      <c r="A12" s="9"/>
      <c r="B12" t="s">
        <v>41</v>
      </c>
      <c r="J12" s="10">
        <f t="shared" si="1"/>
        <v>2028</v>
      </c>
      <c r="K12" s="10">
        <f>'Q2 data'!B20</f>
        <v>181.81</v>
      </c>
      <c r="L12" s="12">
        <f t="shared" si="0"/>
        <v>1.8181</v>
      </c>
      <c r="M12" s="10">
        <f>'Q2 data'!C20</f>
        <v>1.1499999999999999</v>
      </c>
    </row>
    <row r="13" spans="1:18" x14ac:dyDescent="0.35">
      <c r="A13" s="9"/>
      <c r="B13" t="s">
        <v>28</v>
      </c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3" t="s">
        <v>9</v>
      </c>
      <c r="J13" s="10">
        <f t="shared" si="1"/>
        <v>2029</v>
      </c>
      <c r="K13" s="10">
        <f>'Q2 data'!B21</f>
        <v>196.36</v>
      </c>
      <c r="L13" s="12">
        <f t="shared" si="0"/>
        <v>1.9636000000000002</v>
      </c>
      <c r="M13" s="10">
        <f>'Q2 data'!C21</f>
        <v>1.1499999999999999</v>
      </c>
    </row>
    <row r="14" spans="1:18" x14ac:dyDescent="0.35">
      <c r="A14" s="9"/>
      <c r="B14">
        <v>2019</v>
      </c>
      <c r="C14">
        <f>C4</f>
        <v>25</v>
      </c>
      <c r="D14">
        <f>D4-C4</f>
        <v>18</v>
      </c>
      <c r="E14">
        <f t="shared" ref="E14:H15" si="2">E4-D4</f>
        <v>9</v>
      </c>
      <c r="F14">
        <f t="shared" si="2"/>
        <v>6.5</v>
      </c>
      <c r="G14">
        <f t="shared" si="2"/>
        <v>3.8999999999999986</v>
      </c>
      <c r="H14">
        <f t="shared" si="2"/>
        <v>2.6000000000000014</v>
      </c>
      <c r="J14" s="10">
        <f t="shared" si="1"/>
        <v>2030</v>
      </c>
      <c r="K14" s="10">
        <f>'Q2 data'!B22</f>
        <v>212.07</v>
      </c>
      <c r="L14" s="12">
        <f t="shared" si="0"/>
        <v>2.1206999999999998</v>
      </c>
      <c r="M14" s="10">
        <f>'Q2 data'!C22</f>
        <v>1.1499999999999999</v>
      </c>
    </row>
    <row r="15" spans="1:18" x14ac:dyDescent="0.35">
      <c r="A15" s="9"/>
      <c r="B15">
        <v>2020</v>
      </c>
      <c r="C15">
        <f t="shared" ref="C15:C20" si="3">C5</f>
        <v>28</v>
      </c>
      <c r="D15">
        <f t="shared" ref="D15:G19" si="4">D5-C5</f>
        <v>18</v>
      </c>
      <c r="E15">
        <f t="shared" si="4"/>
        <v>10</v>
      </c>
      <c r="F15">
        <f t="shared" si="4"/>
        <v>7</v>
      </c>
      <c r="G15">
        <f t="shared" si="4"/>
        <v>4.5</v>
      </c>
      <c r="H15">
        <f t="shared" si="2"/>
        <v>2.5</v>
      </c>
    </row>
    <row r="16" spans="1:18" x14ac:dyDescent="0.35">
      <c r="B16">
        <v>2021</v>
      </c>
      <c r="C16">
        <f t="shared" si="3"/>
        <v>30</v>
      </c>
      <c r="D16">
        <f t="shared" si="4"/>
        <v>20</v>
      </c>
      <c r="E16">
        <f t="shared" si="4"/>
        <v>20</v>
      </c>
      <c r="F16">
        <f t="shared" si="4"/>
        <v>5</v>
      </c>
      <c r="G16">
        <f t="shared" si="4"/>
        <v>4</v>
      </c>
      <c r="H16" t="str">
        <f>IF('Q2 data'!$G$5="","", 'Q2 data'!$G$5/((INDEX('Q2 data'!$B$12:$B$23, MATCH(#REF!+5, 'Q2 data'!$A$12:$A$23,0)) / INDEX('Q2 data'!$B$12:$B$23, MATCH(2019, 'Q2 data'!$A$12:$A$23,0)))*(0.3*INDEX('Q2 data'!$C$12:$C$23, MATCH(#REF!+5, 'Q2 data'!$A$12:$A$23,0)) + 0.7)))</f>
        <v/>
      </c>
    </row>
    <row r="17" spans="2:8" x14ac:dyDescent="0.35">
      <c r="B17">
        <v>2022</v>
      </c>
      <c r="C17">
        <f t="shared" si="3"/>
        <v>22</v>
      </c>
      <c r="D17">
        <f t="shared" si="4"/>
        <v>18</v>
      </c>
      <c r="E17">
        <f t="shared" si="4"/>
        <v>10</v>
      </c>
      <c r="F17">
        <f t="shared" si="4"/>
        <v>10</v>
      </c>
      <c r="H17" t="str">
        <f>IF('Q2 data'!$G$6="","", 'Q2 data'!$G$6/((INDEX('Q2 data'!$B$12:$B$23, MATCH(#REF!+5, 'Q2 data'!$A$12:$A$23,0)) / INDEX('Q2 data'!$B$12:$B$23, MATCH(2019, 'Q2 data'!$A$12:$A$23,0)))*(0.3*INDEX('Q2 data'!$C$12:$C$23, MATCH(#REF!+5, 'Q2 data'!$A$12:$A$23,0)) + 0.7)))</f>
        <v/>
      </c>
    </row>
    <row r="18" spans="2:8" x14ac:dyDescent="0.35">
      <c r="B18">
        <v>2023</v>
      </c>
      <c r="C18">
        <f t="shared" si="3"/>
        <v>20</v>
      </c>
      <c r="D18">
        <f t="shared" si="4"/>
        <v>16</v>
      </c>
      <c r="E18">
        <f t="shared" si="4"/>
        <v>8</v>
      </c>
      <c r="H18" t="str">
        <f>IF('Q2 data'!$G$7="","", 'Q2 data'!$G$7/((INDEX('Q2 data'!$B$12:$B$23, MATCH(#REF!+5, 'Q2 data'!$A$12:$A$23,0)) / INDEX('Q2 data'!$B$12:$B$23, MATCH(2019, 'Q2 data'!$A$12:$A$23,0)))*(0.3*INDEX('Q2 data'!$C$12:$C$23, MATCH(#REF!+5, 'Q2 data'!$A$12:$A$23,0)) + 0.7)))</f>
        <v/>
      </c>
    </row>
    <row r="19" spans="2:8" x14ac:dyDescent="0.35">
      <c r="B19">
        <v>2024</v>
      </c>
      <c r="C19">
        <f t="shared" si="3"/>
        <v>18</v>
      </c>
      <c r="D19">
        <f t="shared" si="4"/>
        <v>14</v>
      </c>
      <c r="H19" t="str">
        <f>IF('Q2 data'!$G$8="","", 'Q2 data'!$G$8/((INDEX('Q2 data'!$B$12:$B$23, MATCH(#REF!+5, 'Q2 data'!$A$12:$A$23,0)) / INDEX('Q2 data'!$B$12:$B$23, MATCH(2019, 'Q2 data'!$A$12:$A$23,0)))*(0.3*INDEX('Q2 data'!$C$12:$C$23, MATCH(#REF!+5, 'Q2 data'!$A$12:$A$23,0)) + 0.7)))</f>
        <v/>
      </c>
    </row>
    <row r="20" spans="2:8" x14ac:dyDescent="0.35">
      <c r="B20">
        <v>2025</v>
      </c>
      <c r="C20">
        <f t="shared" si="3"/>
        <v>19</v>
      </c>
    </row>
    <row r="22" spans="2:8" x14ac:dyDescent="0.35">
      <c r="B22" t="s">
        <v>46</v>
      </c>
    </row>
    <row r="23" spans="2:8" x14ac:dyDescent="0.35">
      <c r="B23" t="s">
        <v>43</v>
      </c>
      <c r="C23" s="3">
        <v>0</v>
      </c>
      <c r="D23" s="3">
        <v>1</v>
      </c>
      <c r="E23" s="3">
        <v>2</v>
      </c>
      <c r="F23" s="3">
        <v>3</v>
      </c>
      <c r="G23" s="3">
        <v>4</v>
      </c>
      <c r="H23" s="3">
        <v>5</v>
      </c>
    </row>
    <row r="24" spans="2:8" x14ac:dyDescent="0.35">
      <c r="B24">
        <v>2019</v>
      </c>
      <c r="C24" s="9">
        <f t="shared" ref="C24:H25" si="5">C14*VLOOKUP($B24+C$23,$J$2:$L$14,3,0)</f>
        <v>25</v>
      </c>
      <c r="D24" s="9">
        <f t="shared" si="5"/>
        <v>18.54</v>
      </c>
      <c r="E24" s="9">
        <f t="shared" si="5"/>
        <v>9.5480999999999998</v>
      </c>
      <c r="F24" s="9">
        <f t="shared" si="5"/>
        <v>7.4476999999999993</v>
      </c>
      <c r="G24" s="9">
        <f t="shared" si="5"/>
        <v>4.8258599999999987</v>
      </c>
      <c r="H24" s="9">
        <f t="shared" si="5"/>
        <v>3.4746400000000013</v>
      </c>
    </row>
    <row r="25" spans="2:8" x14ac:dyDescent="0.35">
      <c r="B25">
        <v>2020</v>
      </c>
      <c r="C25" s="9">
        <f t="shared" si="5"/>
        <v>28.84</v>
      </c>
      <c r="D25" s="9">
        <f t="shared" si="5"/>
        <v>19.0962</v>
      </c>
      <c r="E25" s="9">
        <f t="shared" si="5"/>
        <v>11.457999999999998</v>
      </c>
      <c r="F25" s="9">
        <f t="shared" si="5"/>
        <v>8.6617999999999995</v>
      </c>
      <c r="G25" s="9">
        <f t="shared" si="5"/>
        <v>6.0137999999999989</v>
      </c>
      <c r="H25" s="9">
        <f t="shared" si="5"/>
        <v>3.60825</v>
      </c>
    </row>
    <row r="26" spans="2:8" x14ac:dyDescent="0.35">
      <c r="B26">
        <v>2021</v>
      </c>
      <c r="C26" s="9">
        <f>C16*VLOOKUP($B26+C$23,$J$2:$L$14,3,0)</f>
        <v>31.826999999999998</v>
      </c>
      <c r="D26" s="9">
        <f>D16*VLOOKUP($B26+D$23,$J$2:$L$14,3,0)</f>
        <v>22.915999999999997</v>
      </c>
      <c r="E26" s="9">
        <f>E16*VLOOKUP($B26+E$23,$J$2:$L$14,3,0)</f>
        <v>24.748000000000001</v>
      </c>
      <c r="F26" s="9">
        <f>F16*VLOOKUP($B26+F$23,$J$2:$L$14,3,0)</f>
        <v>6.6819999999999986</v>
      </c>
      <c r="G26" s="9">
        <f>G16*VLOOKUP($B26+G$23,$J$2:$L$14,3,0)</f>
        <v>5.7732000000000001</v>
      </c>
      <c r="H26" s="9"/>
    </row>
    <row r="27" spans="2:8" x14ac:dyDescent="0.35">
      <c r="B27">
        <v>2022</v>
      </c>
      <c r="C27" s="9">
        <f>C17*VLOOKUP($B27+C$23,$J$2:$L$14,3,0)</f>
        <v>25.207599999999999</v>
      </c>
      <c r="D27" s="9">
        <f>D17*VLOOKUP($B27+D$23,$J$2:$L$14,3,0)</f>
        <v>22.273200000000003</v>
      </c>
      <c r="E27" s="9">
        <f>E17*VLOOKUP($B27+E$23,$J$2:$L$14,3,0)</f>
        <v>13.363999999999997</v>
      </c>
      <c r="F27" s="9">
        <f>F17*VLOOKUP($B27+F$23,$J$2:$L$14,3,0)</f>
        <v>14.433</v>
      </c>
      <c r="G27" s="9"/>
      <c r="H27" s="9"/>
    </row>
    <row r="28" spans="2:8" x14ac:dyDescent="0.35">
      <c r="B28">
        <v>2023</v>
      </c>
      <c r="C28" s="9">
        <f>C18*VLOOKUP($B28+C$23,$J$2:$L$14,3,0)</f>
        <v>24.748000000000001</v>
      </c>
      <c r="D28" s="9">
        <f>D18*VLOOKUP($B28+D$23,$J$2:$L$14,3,0)</f>
        <v>21.382399999999997</v>
      </c>
      <c r="E28" s="9">
        <f>E18*VLOOKUP($B28+E$23,$J$2:$L$14,3,0)</f>
        <v>11.5464</v>
      </c>
      <c r="F28" s="9"/>
      <c r="G28" s="9"/>
      <c r="H28" s="9"/>
    </row>
    <row r="29" spans="2:8" x14ac:dyDescent="0.35">
      <c r="B29">
        <v>2024</v>
      </c>
      <c r="C29" s="9">
        <f>C19*VLOOKUP($B29+C$23,$J$2:$L$14,3,0)</f>
        <v>24.055199999999996</v>
      </c>
      <c r="D29" s="9">
        <f>D19*VLOOKUP($B29+D$23,$J$2:$L$14,3,0)</f>
        <v>20.206199999999999</v>
      </c>
      <c r="E29" s="9"/>
      <c r="F29" s="9"/>
      <c r="G29" s="9"/>
      <c r="H29" s="9"/>
    </row>
    <row r="30" spans="2:8" x14ac:dyDescent="0.35">
      <c r="B30">
        <v>2025</v>
      </c>
      <c r="C30" s="9">
        <f>C20*VLOOKUP($B30+C$23,$J$2:$L$14,3,0)</f>
        <v>27.422699999999999</v>
      </c>
      <c r="D30" s="9"/>
      <c r="E30" s="9"/>
      <c r="F30" s="9"/>
      <c r="G30" s="9"/>
      <c r="H30" s="9"/>
    </row>
    <row r="34" spans="3:8" x14ac:dyDescent="0.35">
      <c r="C34" s="3"/>
      <c r="D34" s="3"/>
      <c r="E34" s="3"/>
      <c r="F34" s="3"/>
      <c r="G34" s="3"/>
      <c r="H34" s="3"/>
    </row>
    <row r="35" spans="3:8" x14ac:dyDescent="0.35">
      <c r="C35" s="9"/>
      <c r="D35" s="9"/>
      <c r="E35" s="9"/>
      <c r="F35" s="9"/>
      <c r="G35" s="9"/>
      <c r="H35" s="9"/>
    </row>
    <row r="36" spans="3:8" x14ac:dyDescent="0.35">
      <c r="C36" s="9"/>
      <c r="D36" s="9"/>
      <c r="E36" s="9"/>
      <c r="F36" s="9"/>
      <c r="G36" s="9"/>
      <c r="H36" s="9"/>
    </row>
    <row r="37" spans="3:8" x14ac:dyDescent="0.35">
      <c r="C37" s="9"/>
      <c r="D37" s="9"/>
      <c r="E37" s="9"/>
      <c r="F37" s="9"/>
      <c r="G37" s="9"/>
      <c r="H37" s="9"/>
    </row>
    <row r="38" spans="3:8" x14ac:dyDescent="0.35">
      <c r="C38" s="9"/>
      <c r="D38" s="9"/>
      <c r="E38" s="9"/>
      <c r="F38" s="9"/>
      <c r="G38" s="9"/>
      <c r="H38" s="9"/>
    </row>
    <row r="39" spans="3:8" x14ac:dyDescent="0.35">
      <c r="C39" s="9"/>
      <c r="D39" s="9"/>
      <c r="E39" s="9"/>
      <c r="F39" s="9"/>
      <c r="G39" s="9"/>
      <c r="H39" s="9"/>
    </row>
    <row r="40" spans="3:8" x14ac:dyDescent="0.35">
      <c r="C40" s="9"/>
      <c r="D40" s="9"/>
      <c r="E40" s="9"/>
      <c r="F40" s="9"/>
      <c r="G40" s="9"/>
      <c r="H40" s="9"/>
    </row>
    <row r="41" spans="3:8" x14ac:dyDescent="0.35">
      <c r="C41" s="9"/>
      <c r="D41" s="9"/>
      <c r="E41" s="9"/>
      <c r="F41" s="9"/>
      <c r="G41" s="9"/>
      <c r="H41" s="9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5D62-ECBC-4E34-AE15-1FD1BD003086}">
  <dimension ref="A2:R22"/>
  <sheetViews>
    <sheetView workbookViewId="0">
      <selection activeCell="P8" sqref="P8"/>
    </sheetView>
  </sheetViews>
  <sheetFormatPr defaultRowHeight="14.5" x14ac:dyDescent="0.35"/>
  <cols>
    <col min="16" max="16" width="5.453125" bestFit="1" customWidth="1"/>
  </cols>
  <sheetData>
    <row r="2" spans="1:18" ht="43.5" x14ac:dyDescent="0.35">
      <c r="J2" s="10" t="s">
        <v>44</v>
      </c>
      <c r="K2" s="10" t="s">
        <v>11</v>
      </c>
      <c r="L2" s="11" t="s">
        <v>42</v>
      </c>
      <c r="M2" s="10" t="s">
        <v>45</v>
      </c>
    </row>
    <row r="3" spans="1:18" x14ac:dyDescent="0.35">
      <c r="A3" s="7"/>
      <c r="B3" t="s">
        <v>75</v>
      </c>
      <c r="J3" s="10">
        <v>2019</v>
      </c>
      <c r="K3" s="10">
        <f>'Q2 data'!B11</f>
        <v>100</v>
      </c>
      <c r="L3" s="12">
        <f t="shared" ref="L3:L14" si="0">K3/$K$3</f>
        <v>1</v>
      </c>
      <c r="M3" s="10">
        <f>'Q2 data'!C11</f>
        <v>1</v>
      </c>
      <c r="Q3" s="19"/>
    </row>
    <row r="4" spans="1:18" x14ac:dyDescent="0.35">
      <c r="A4" s="9"/>
      <c r="B4" t="s">
        <v>43</v>
      </c>
      <c r="C4" s="3">
        <v>0</v>
      </c>
      <c r="D4" s="3">
        <v>1</v>
      </c>
      <c r="E4" s="3">
        <v>2</v>
      </c>
      <c r="F4" s="3">
        <v>3</v>
      </c>
      <c r="G4" s="3">
        <v>4</v>
      </c>
      <c r="H4" s="3">
        <v>5</v>
      </c>
      <c r="J4" s="10">
        <f>+J3+1</f>
        <v>2020</v>
      </c>
      <c r="K4" s="10">
        <f>'Q2 data'!B12</f>
        <v>103</v>
      </c>
      <c r="L4" s="12">
        <f t="shared" si="0"/>
        <v>1.03</v>
      </c>
      <c r="M4" s="10">
        <f>'Q2 data'!C12</f>
        <v>1</v>
      </c>
    </row>
    <row r="5" spans="1:18" x14ac:dyDescent="0.35">
      <c r="A5" s="9"/>
      <c r="B5">
        <v>2019</v>
      </c>
      <c r="C5" s="9">
        <f>'Q2 b)'!C24</f>
        <v>25</v>
      </c>
      <c r="D5" s="9">
        <f>'Q2 b)'!D24</f>
        <v>18.54</v>
      </c>
      <c r="E5" s="9">
        <f>'Q2 b)'!E24</f>
        <v>9.5480999999999998</v>
      </c>
      <c r="F5" s="9">
        <f>'Q2 b)'!F24</f>
        <v>7.4476999999999993</v>
      </c>
      <c r="G5" s="9">
        <f>'Q2 b)'!G24</f>
        <v>4.8258599999999987</v>
      </c>
      <c r="H5" s="9">
        <f>'Q2 b)'!H24</f>
        <v>3.4746400000000013</v>
      </c>
      <c r="J5" s="10">
        <f t="shared" ref="J5:J14" si="1">+J4+1</f>
        <v>2021</v>
      </c>
      <c r="K5" s="10">
        <f>'Q2 data'!B13</f>
        <v>106.09</v>
      </c>
      <c r="L5" s="12">
        <f t="shared" si="0"/>
        <v>1.0609</v>
      </c>
      <c r="M5" s="10">
        <f>'Q2 data'!C13</f>
        <v>1</v>
      </c>
    </row>
    <row r="6" spans="1:18" x14ac:dyDescent="0.35">
      <c r="A6" s="9"/>
      <c r="B6">
        <v>2020</v>
      </c>
      <c r="C6" s="9">
        <f>'Q2 b)'!C25</f>
        <v>28.84</v>
      </c>
      <c r="D6" s="9">
        <f>'Q2 b)'!D25</f>
        <v>19.0962</v>
      </c>
      <c r="E6" s="9">
        <f>'Q2 b)'!E25</f>
        <v>11.457999999999998</v>
      </c>
      <c r="F6" s="9">
        <f>'Q2 b)'!F25</f>
        <v>8.6617999999999995</v>
      </c>
      <c r="G6" s="9">
        <f>'Q2 b)'!G25</f>
        <v>6.0137999999999989</v>
      </c>
      <c r="H6" s="9">
        <f>'Q2 b)'!H25</f>
        <v>3.60825</v>
      </c>
      <c r="J6" s="10">
        <f t="shared" si="1"/>
        <v>2022</v>
      </c>
      <c r="K6" s="10">
        <f>'Q2 data'!B14</f>
        <v>114.58</v>
      </c>
      <c r="L6" s="12">
        <f t="shared" si="0"/>
        <v>1.1457999999999999</v>
      </c>
      <c r="M6" s="10">
        <f>'Q2 data'!C14</f>
        <v>1.1499999999999999</v>
      </c>
    </row>
    <row r="7" spans="1:18" x14ac:dyDescent="0.35">
      <c r="A7" s="9"/>
      <c r="B7">
        <v>2021</v>
      </c>
      <c r="C7" s="9">
        <f>'Q2 b)'!C26</f>
        <v>31.826999999999998</v>
      </c>
      <c r="D7" s="9">
        <f>'Q2 b)'!D26</f>
        <v>22.915999999999997</v>
      </c>
      <c r="E7" s="9">
        <f>'Q2 b)'!E26</f>
        <v>24.748000000000001</v>
      </c>
      <c r="F7" s="9">
        <f>'Q2 b)'!F26</f>
        <v>6.6819999999999986</v>
      </c>
      <c r="G7" s="9">
        <f>'Q2 b)'!G26</f>
        <v>5.7732000000000001</v>
      </c>
      <c r="H7" s="9"/>
      <c r="J7" s="10">
        <f t="shared" si="1"/>
        <v>2023</v>
      </c>
      <c r="K7" s="10">
        <f>'Q2 data'!B15</f>
        <v>123.74</v>
      </c>
      <c r="L7" s="12">
        <f t="shared" si="0"/>
        <v>1.2374000000000001</v>
      </c>
      <c r="M7" s="10">
        <f>'Q2 data'!C15</f>
        <v>1.1499999999999999</v>
      </c>
    </row>
    <row r="8" spans="1:18" x14ac:dyDescent="0.35">
      <c r="A8" s="9"/>
      <c r="B8">
        <v>2022</v>
      </c>
      <c r="C8" s="9">
        <f>'Q2 b)'!C27</f>
        <v>25.207599999999999</v>
      </c>
      <c r="D8" s="9">
        <f>'Q2 b)'!D27</f>
        <v>22.273200000000003</v>
      </c>
      <c r="E8" s="9">
        <f>'Q2 b)'!E27</f>
        <v>13.363999999999997</v>
      </c>
      <c r="F8" s="9">
        <f>'Q2 b)'!F27</f>
        <v>14.433</v>
      </c>
      <c r="G8" s="9"/>
      <c r="H8" s="9"/>
      <c r="J8" s="10">
        <f t="shared" si="1"/>
        <v>2024</v>
      </c>
      <c r="K8" s="10">
        <f>'Q2 data'!B16</f>
        <v>133.63999999999999</v>
      </c>
      <c r="L8" s="12">
        <f t="shared" si="0"/>
        <v>1.3363999999999998</v>
      </c>
      <c r="M8" s="10">
        <f>'Q2 data'!C16</f>
        <v>1.1499999999999999</v>
      </c>
      <c r="P8" t="s">
        <v>71</v>
      </c>
      <c r="Q8">
        <v>8</v>
      </c>
      <c r="R8" t="s">
        <v>60</v>
      </c>
    </row>
    <row r="9" spans="1:18" x14ac:dyDescent="0.35">
      <c r="A9" s="9"/>
      <c r="B9">
        <v>2023</v>
      </c>
      <c r="C9" s="9">
        <f>'Q2 b)'!C28</f>
        <v>24.748000000000001</v>
      </c>
      <c r="D9" s="9">
        <f>'Q2 b)'!D28</f>
        <v>21.382399999999997</v>
      </c>
      <c r="E9" s="9">
        <f>'Q2 b)'!E28</f>
        <v>11.5464</v>
      </c>
      <c r="F9" s="9"/>
      <c r="G9" s="9"/>
      <c r="H9" s="9"/>
      <c r="J9" s="10">
        <f t="shared" si="1"/>
        <v>2025</v>
      </c>
      <c r="K9" s="10">
        <f>'Q2 data'!B17</f>
        <v>144.33000000000001</v>
      </c>
      <c r="L9" s="12">
        <f t="shared" si="0"/>
        <v>1.4433</v>
      </c>
      <c r="M9" s="10">
        <f>'Q2 data'!C17</f>
        <v>1.1499999999999999</v>
      </c>
    </row>
    <row r="10" spans="1:18" x14ac:dyDescent="0.35">
      <c r="A10" s="9"/>
      <c r="B10">
        <v>2024</v>
      </c>
      <c r="C10" s="9">
        <f>'Q2 b)'!C29</f>
        <v>24.055199999999996</v>
      </c>
      <c r="D10" s="9">
        <f>'Q2 b)'!D29</f>
        <v>20.206199999999999</v>
      </c>
      <c r="E10" s="9"/>
      <c r="F10" s="9"/>
      <c r="G10" s="9"/>
      <c r="H10" s="9"/>
      <c r="J10" s="10">
        <f t="shared" si="1"/>
        <v>2026</v>
      </c>
      <c r="K10" s="10">
        <f>'Q2 data'!B18</f>
        <v>155.88</v>
      </c>
      <c r="L10" s="12">
        <f t="shared" si="0"/>
        <v>1.5588</v>
      </c>
      <c r="M10" s="10">
        <f>'Q2 data'!C18</f>
        <v>1.1499999999999999</v>
      </c>
    </row>
    <row r="11" spans="1:18" x14ac:dyDescent="0.35">
      <c r="A11" s="9"/>
      <c r="B11">
        <v>2025</v>
      </c>
      <c r="C11" s="9">
        <f>'Q2 b)'!C30</f>
        <v>27.422699999999999</v>
      </c>
      <c r="D11" s="9"/>
      <c r="E11" s="9"/>
      <c r="F11" s="9"/>
      <c r="G11" s="9"/>
      <c r="H11" s="9"/>
      <c r="J11" s="10">
        <f t="shared" si="1"/>
        <v>2027</v>
      </c>
      <c r="K11" s="10">
        <f>'Q2 data'!B19</f>
        <v>168.35</v>
      </c>
      <c r="L11" s="12">
        <f t="shared" si="0"/>
        <v>1.6835</v>
      </c>
      <c r="M11" s="10">
        <f>'Q2 data'!C19</f>
        <v>1.1499999999999999</v>
      </c>
    </row>
    <row r="12" spans="1:18" x14ac:dyDescent="0.35">
      <c r="A12" s="9"/>
      <c r="J12" s="10">
        <f t="shared" si="1"/>
        <v>2028</v>
      </c>
      <c r="K12" s="10">
        <f>'Q2 data'!B20</f>
        <v>181.81</v>
      </c>
      <c r="L12" s="12">
        <f t="shared" si="0"/>
        <v>1.8181</v>
      </c>
      <c r="M12" s="10">
        <f>'Q2 data'!C20</f>
        <v>1.1499999999999999</v>
      </c>
    </row>
    <row r="13" spans="1:18" x14ac:dyDescent="0.35">
      <c r="A13" s="9"/>
      <c r="B13" t="s">
        <v>47</v>
      </c>
      <c r="J13" s="10">
        <f t="shared" si="1"/>
        <v>2029</v>
      </c>
      <c r="K13" s="10">
        <f>'Q2 data'!B21</f>
        <v>196.36</v>
      </c>
      <c r="L13" s="12">
        <f t="shared" si="0"/>
        <v>1.9636000000000002</v>
      </c>
      <c r="M13" s="10">
        <f>'Q2 data'!C21</f>
        <v>1.1499999999999999</v>
      </c>
    </row>
    <row r="14" spans="1:18" x14ac:dyDescent="0.35">
      <c r="A14" s="9"/>
      <c r="J14" s="10">
        <f t="shared" si="1"/>
        <v>2030</v>
      </c>
      <c r="K14" s="10">
        <f>'Q2 data'!B22</f>
        <v>212.07</v>
      </c>
      <c r="L14" s="12">
        <f t="shared" si="0"/>
        <v>2.1206999999999998</v>
      </c>
      <c r="M14" s="10">
        <f>'Q2 data'!C22</f>
        <v>1.1499999999999999</v>
      </c>
    </row>
    <row r="15" spans="1:18" x14ac:dyDescent="0.35">
      <c r="A15" s="9"/>
      <c r="B15" t="s">
        <v>43</v>
      </c>
      <c r="C15" s="3">
        <v>0</v>
      </c>
      <c r="D15" s="3">
        <v>1</v>
      </c>
      <c r="E15" s="3">
        <v>2</v>
      </c>
      <c r="F15" s="3">
        <v>3</v>
      </c>
      <c r="G15" s="3">
        <v>4</v>
      </c>
      <c r="H15" s="3">
        <v>5</v>
      </c>
    </row>
    <row r="16" spans="1:18" x14ac:dyDescent="0.35">
      <c r="B16">
        <v>2019</v>
      </c>
      <c r="C16" s="9">
        <f>C5*VLOOKUP($B16+C$4,$J$2:$M$14,4,0)*'Q2 data'!$M$2+C5*(1-'Q2 data'!$M$2)</f>
        <v>25</v>
      </c>
      <c r="D16" s="9">
        <f>D5*VLOOKUP($B16+D$4,$J$2:$M$14,4,0)*'Q2 data'!$M$2+D5*(1-'Q2 data'!$M$2)</f>
        <v>18.54</v>
      </c>
      <c r="E16" s="9">
        <f>E5*VLOOKUP($B16+E$4,$J$2:$M$14,4,0)*'Q2 data'!$M$2+E5*(1-'Q2 data'!$M$2)</f>
        <v>9.5480999999999998</v>
      </c>
      <c r="F16" s="9">
        <f>F5*VLOOKUP($B16+F$4,$J$2:$M$14,4,0)*'Q2 data'!$M$2+F5*(1-'Q2 data'!$M$2)</f>
        <v>7.7828464999999989</v>
      </c>
      <c r="G16" s="9">
        <f>G5*VLOOKUP($B16+G$4,$J$2:$M$14,4,0)*'Q2 data'!$M$2+G5*(1-'Q2 data'!$M$2)</f>
        <v>5.0430236999999982</v>
      </c>
      <c r="H16" s="9">
        <f>H5*VLOOKUP($B16+H$4,$J$2:$M$14,4,0)*'Q2 data'!$M$2+H5*(1-'Q2 data'!$M$2)</f>
        <v>3.6309988000000013</v>
      </c>
    </row>
    <row r="17" spans="2:8" x14ac:dyDescent="0.35">
      <c r="B17">
        <v>2020</v>
      </c>
      <c r="C17" s="9">
        <f>C6*VLOOKUP($B17+C$4,$J$2:$M$14,4,0)*'Q2 data'!$M$2+C6*(1-'Q2 data'!$M$2)</f>
        <v>28.839999999999996</v>
      </c>
      <c r="D17" s="9">
        <f>D6*VLOOKUP($B17+D$4,$J$2:$M$14,4,0)*'Q2 data'!$M$2+D6*(1-'Q2 data'!$M$2)</f>
        <v>19.0962</v>
      </c>
      <c r="E17" s="9">
        <f>E6*VLOOKUP($B17+E$4,$J$2:$M$14,4,0)*'Q2 data'!$M$2+E6*(1-'Q2 data'!$M$2)</f>
        <v>11.973609999999997</v>
      </c>
      <c r="F17" s="9">
        <f>F6*VLOOKUP($B17+F$4,$J$2:$M$14,4,0)*'Q2 data'!$M$2+F6*(1-'Q2 data'!$M$2)</f>
        <v>9.0515809999999988</v>
      </c>
      <c r="G17" s="9">
        <f>G6*VLOOKUP($B17+G$4,$J$2:$M$14,4,0)*'Q2 data'!$M$2+G6*(1-'Q2 data'!$M$2)</f>
        <v>6.2844209999999983</v>
      </c>
      <c r="H17" s="9">
        <f>H6*VLOOKUP($B17+H$4,$J$2:$M$14,4,0)*'Q2 data'!$M$2+H6*(1-'Q2 data'!$M$2)</f>
        <v>3.7706212499999996</v>
      </c>
    </row>
    <row r="18" spans="2:8" x14ac:dyDescent="0.35">
      <c r="B18">
        <v>2021</v>
      </c>
      <c r="C18" s="9">
        <f>C7*VLOOKUP($B18+C$4,$J$2:$M$14,4,0)*'Q2 data'!$M$2+C7*(1-'Q2 data'!$M$2)</f>
        <v>31.826999999999998</v>
      </c>
      <c r="D18" s="9">
        <f>D7*VLOOKUP($B18+D$4,$J$2:$M$14,4,0)*'Q2 data'!$M$2+D7*(1-'Q2 data'!$M$2)</f>
        <v>23.947219999999994</v>
      </c>
      <c r="E18" s="9">
        <f>E7*VLOOKUP($B18+E$4,$J$2:$M$14,4,0)*'Q2 data'!$M$2+E7*(1-'Q2 data'!$M$2)</f>
        <v>25.861660000000001</v>
      </c>
      <c r="F18" s="9">
        <f>F7*VLOOKUP($B18+F$4,$J$2:$M$14,4,0)*'Q2 data'!$M$2+F7*(1-'Q2 data'!$M$2)</f>
        <v>6.9826899999999981</v>
      </c>
      <c r="G18" s="9">
        <f>G7*VLOOKUP($B18+G$4,$J$2:$M$14,4,0)*'Q2 data'!$M$2+G7*(1-'Q2 data'!$M$2)</f>
        <v>6.0329940000000004</v>
      </c>
      <c r="H18" s="9"/>
    </row>
    <row r="19" spans="2:8" x14ac:dyDescent="0.35">
      <c r="B19">
        <v>2022</v>
      </c>
      <c r="C19" s="9">
        <f>C8*VLOOKUP($B19+C$4,$J$2:$M$14,4,0)*'Q2 data'!$M$2+C8*(1-'Q2 data'!$M$2)</f>
        <v>26.341941999999996</v>
      </c>
      <c r="D19" s="9">
        <f>D8*VLOOKUP($B19+D$4,$J$2:$M$14,4,0)*'Q2 data'!$M$2+D8*(1-'Q2 data'!$M$2)</f>
        <v>23.275494000000002</v>
      </c>
      <c r="E19" s="9">
        <f>E8*VLOOKUP($B19+E$4,$J$2:$M$14,4,0)*'Q2 data'!$M$2+E8*(1-'Q2 data'!$M$2)</f>
        <v>13.965379999999996</v>
      </c>
      <c r="F19" s="9">
        <f>F8*VLOOKUP($B19+F$4,$J$2:$M$14,4,0)*'Q2 data'!$M$2+F8*(1-'Q2 data'!$M$2)</f>
        <v>15.082484999999998</v>
      </c>
      <c r="G19" s="9"/>
      <c r="H19" s="9"/>
    </row>
    <row r="20" spans="2:8" x14ac:dyDescent="0.35">
      <c r="B20">
        <v>2023</v>
      </c>
      <c r="C20" s="9">
        <f>C9*VLOOKUP($B20+C$4,$J$2:$M$14,4,0)*'Q2 data'!$M$2+C9*(1-'Q2 data'!$M$2)</f>
        <v>25.861660000000001</v>
      </c>
      <c r="D20" s="9">
        <f>D9*VLOOKUP($B20+D$4,$J$2:$M$14,4,0)*'Q2 data'!$M$2+D9*(1-'Q2 data'!$M$2)</f>
        <v>22.344607999999994</v>
      </c>
      <c r="E20" s="9">
        <f>E9*VLOOKUP($B20+E$4,$J$2:$M$14,4,0)*'Q2 data'!$M$2+E9*(1-'Q2 data'!$M$2)</f>
        <v>12.065988000000001</v>
      </c>
      <c r="F20" s="9"/>
      <c r="G20" s="9"/>
      <c r="H20" s="9"/>
    </row>
    <row r="21" spans="2:8" x14ac:dyDescent="0.35">
      <c r="B21">
        <v>2024</v>
      </c>
      <c r="C21" s="9">
        <f>C10*VLOOKUP($B21+C$4,$J$2:$M$14,4,0)*'Q2 data'!$M$2+C10*(1-'Q2 data'!$M$2)</f>
        <v>25.137683999999993</v>
      </c>
      <c r="D21" s="9">
        <f>D10*VLOOKUP($B21+D$4,$J$2:$M$14,4,0)*'Q2 data'!$M$2+D10*(1-'Q2 data'!$M$2)</f>
        <v>21.115478999999997</v>
      </c>
      <c r="E21" s="9"/>
      <c r="F21" s="9"/>
      <c r="G21" s="9"/>
      <c r="H21" s="9"/>
    </row>
    <row r="22" spans="2:8" x14ac:dyDescent="0.35">
      <c r="B22">
        <v>2025</v>
      </c>
      <c r="C22" s="9">
        <f>C11*VLOOKUP($B22+C$4,$J$2:$M$14,4,0)*'Q2 data'!$M$2+C11*(1-'Q2 data'!$M$2)</f>
        <v>28.656721499999996</v>
      </c>
      <c r="D22" s="9"/>
      <c r="E22" s="9"/>
      <c r="F22" s="9"/>
      <c r="G22" s="9"/>
      <c r="H22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7a12b3-3a39-4e5f-afa6-4629bb16037e">
      <Terms xmlns="http://schemas.microsoft.com/office/infopath/2007/PartnerControls"/>
    </lcf76f155ced4ddcb4097134ff3c332f>
    <_ip_UnifiedCompliancePolicyUIAction xmlns="http://schemas.microsoft.com/sharepoint/v3" xsi:nil="true"/>
    <TaxCatchAll xmlns="1f0d55de-41a8-442a-939a-8c7a93a15ac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74D6C390916B4A8494C33A5D3CA82B" ma:contentTypeVersion="18" ma:contentTypeDescription="Create a new document." ma:contentTypeScope="" ma:versionID="061ed7418ccd0ab96bbd5383361f11e3">
  <xsd:schema xmlns:xsd="http://www.w3.org/2001/XMLSchema" xmlns:xs="http://www.w3.org/2001/XMLSchema" xmlns:p="http://schemas.microsoft.com/office/2006/metadata/properties" xmlns:ns1="http://schemas.microsoft.com/sharepoint/v3" xmlns:ns2="307a12b3-3a39-4e5f-afa6-4629bb16037e" xmlns:ns3="1f0d55de-41a8-442a-939a-8c7a93a15acc" targetNamespace="http://schemas.microsoft.com/office/2006/metadata/properties" ma:root="true" ma:fieldsID="d0fab99a09af8f4f7597e523ca27625f" ns1:_="" ns2:_="" ns3:_="">
    <xsd:import namespace="http://schemas.microsoft.com/sharepoint/v3"/>
    <xsd:import namespace="307a12b3-3a39-4e5f-afa6-4629bb16037e"/>
    <xsd:import namespace="1f0d55de-41a8-442a-939a-8c7a93a15a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a12b3-3a39-4e5f-afa6-4629bb160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790f828-4d96-4d10-bc53-6c3febba0b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d55de-41a8-442a-939a-8c7a93a15ac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438ea2c-1d97-4ed9-8a85-6ab57bb76901}" ma:internalName="TaxCatchAll" ma:showField="CatchAllData" ma:web="1f0d55de-41a8-442a-939a-8c7a93a15a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EF6012-F729-4055-966A-0952B9BFADDE}">
  <ds:schemaRefs>
    <ds:schemaRef ds:uri="http://schemas.microsoft.com/office/2006/metadata/properties"/>
    <ds:schemaRef ds:uri="http://schemas.microsoft.com/office/infopath/2007/PartnerControls"/>
    <ds:schemaRef ds:uri="307a12b3-3a39-4e5f-afa6-4629bb16037e"/>
    <ds:schemaRef ds:uri="http://schemas.microsoft.com/sharepoint/v3"/>
    <ds:schemaRef ds:uri="1f0d55de-41a8-442a-939a-8c7a93a15acc"/>
  </ds:schemaRefs>
</ds:datastoreItem>
</file>

<file path=customXml/itemProps2.xml><?xml version="1.0" encoding="utf-8"?>
<ds:datastoreItem xmlns:ds="http://schemas.openxmlformats.org/officeDocument/2006/customXml" ds:itemID="{3811CF67-4A81-417E-9B75-0D6E40C93F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CCD3E3-9B4D-4E93-A0F5-0B41B0E079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07a12b3-3a39-4e5f-afa6-4629bb16037e"/>
    <ds:schemaRef ds:uri="1f0d55de-41a8-442a-939a-8c7a93a15a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Q1 data </vt:lpstr>
      <vt:lpstr>Q1 a)</vt:lpstr>
      <vt:lpstr>Q1) b</vt:lpstr>
      <vt:lpstr>Q1 c)</vt:lpstr>
      <vt:lpstr>Q1 d)</vt:lpstr>
      <vt:lpstr>Q2 data</vt:lpstr>
      <vt:lpstr>Q2 a)</vt:lpstr>
      <vt:lpstr>Q2 b)</vt:lpstr>
      <vt:lpstr>Q2 c) </vt:lpstr>
      <vt:lpstr>Q2 d)</vt:lpstr>
      <vt:lpstr>Q2 b) alternate version(2)</vt:lpstr>
      <vt:lpstr>Q2 c) alternate version (2)</vt:lpstr>
      <vt:lpstr>Q2 d) alternate version (2)</vt:lpstr>
      <vt:lpstr>Q2 e)</vt:lpstr>
      <vt:lpstr>Q2 f)</vt:lpstr>
      <vt:lpstr>Q3 data </vt:lpstr>
      <vt:lpstr>Q3 a)</vt:lpstr>
      <vt:lpstr>Q3 b)</vt:lpstr>
      <vt:lpstr>Q3 c)</vt:lpstr>
      <vt:lpstr>Q4 data</vt:lpstr>
      <vt:lpstr>Q4 a and 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Jyoti Shinde - Senior Manager</cp:lastModifiedBy>
  <dcterms:created xsi:type="dcterms:W3CDTF">2025-09-25T06:55:50Z</dcterms:created>
  <dcterms:modified xsi:type="dcterms:W3CDTF">2026-03-25T05:28:06Z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c2fedb-0da6-4717-8531-d16a1b9930f4_Enabled">
    <vt:lpwstr>true</vt:lpwstr>
  </property>
  <property fmtid="{D5CDD505-2E9C-101B-9397-08002B2CF9AE}" pid="3" name="MSIP_Label_90c2fedb-0da6-4717-8531-d16a1b9930f4_SetDate">
    <vt:lpwstr>2025-09-25T11:44:50Z</vt:lpwstr>
  </property>
  <property fmtid="{D5CDD505-2E9C-101B-9397-08002B2CF9AE}" pid="4" name="MSIP_Label_90c2fedb-0da6-4717-8531-d16a1b9930f4_Method">
    <vt:lpwstr>Standard</vt:lpwstr>
  </property>
  <property fmtid="{D5CDD505-2E9C-101B-9397-08002B2CF9AE}" pid="5" name="MSIP_Label_90c2fedb-0da6-4717-8531-d16a1b9930f4_Name">
    <vt:lpwstr>90c2fedb-0da6-4717-8531-d16a1b9930f4</vt:lpwstr>
  </property>
  <property fmtid="{D5CDD505-2E9C-101B-9397-08002B2CF9AE}" pid="6" name="MSIP_Label_90c2fedb-0da6-4717-8531-d16a1b9930f4_SiteId">
    <vt:lpwstr>45597f60-6e37-4be7-acfb-4c9e23b261ea</vt:lpwstr>
  </property>
  <property fmtid="{D5CDD505-2E9C-101B-9397-08002B2CF9AE}" pid="7" name="MSIP_Label_90c2fedb-0da6-4717-8531-d16a1b9930f4_ActionId">
    <vt:lpwstr>44315b13-e8bb-494f-b957-1933fb00bc15</vt:lpwstr>
  </property>
  <property fmtid="{D5CDD505-2E9C-101B-9397-08002B2CF9AE}" pid="8" name="MSIP_Label_90c2fedb-0da6-4717-8531-d16a1b9930f4_ContentBits">
    <vt:lpwstr>0</vt:lpwstr>
  </property>
  <property fmtid="{D5CDD505-2E9C-101B-9397-08002B2CF9AE}" pid="9" name="MSIP_Label_90c2fedb-0da6-4717-8531-d16a1b9930f4_Tag">
    <vt:lpwstr>10, 3, 0, 1</vt:lpwstr>
  </property>
  <property fmtid="{D5CDD505-2E9C-101B-9397-08002B2CF9AE}" pid="10" name="ContentTypeId">
    <vt:lpwstr>0x010100FE74D6C390916B4A8494C33A5D3CA82B</vt:lpwstr>
  </property>
  <property fmtid="{D5CDD505-2E9C-101B-9397-08002B2CF9AE}" pid="11" name="MediaServiceImageTags">
    <vt:lpwstr/>
  </property>
</Properties>
</file>