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32573\Desktop\"/>
    </mc:Choice>
  </mc:AlternateContent>
  <xr:revisionPtr revIDLastSave="0" documentId="8_{AA56C945-B6F7-4272-B6F5-33AC960C394D}" xr6:coauthVersionLast="47" xr6:coauthVersionMax="47" xr10:uidLastSave="{00000000-0000-0000-0000-000000000000}"/>
  <bookViews>
    <workbookView xWindow="-110" yWindow="-110" windowWidth="19420" windowHeight="10300" xr2:uid="{EB76ED7E-8136-4F21-B96E-97A1FB77CE72}"/>
  </bookViews>
  <sheets>
    <sheet name="Q.1.input" sheetId="1" r:id="rId1"/>
    <sheet name="Q.1.i" sheetId="2" r:id="rId2"/>
    <sheet name="Q.1.ii" sheetId="3" r:id="rId3"/>
    <sheet name="Q.1.iii" sheetId="4" r:id="rId4"/>
    <sheet name="Q.1.iv" sheetId="5" r:id="rId5"/>
    <sheet name="Q.1.v" sheetId="6" r:id="rId6"/>
    <sheet name="Q.1.vi" sheetId="7" r:id="rId7"/>
    <sheet name="Q.2.Input" sheetId="8" r:id="rId8"/>
    <sheet name="Q.2.i" sheetId="9" r:id="rId9"/>
    <sheet name="Q.2.ii" sheetId="10" r:id="rId10"/>
    <sheet name="Q.2.iii" sheetId="12" r:id="rId11"/>
    <sheet name="Q.2.iv" sheetId="13" r:id="rId12"/>
    <sheet name="Q.2.v" sheetId="16" r:id="rId13"/>
    <sheet name="Q.3.Input" sheetId="17" r:id="rId14"/>
    <sheet name="Q.3.i" sheetId="18" r:id="rId15"/>
    <sheet name="Q.3.ii" sheetId="19" r:id="rId16"/>
    <sheet name="Q.3.iii" sheetId="20" r:id="rId17"/>
    <sheet name="Q.3.iv" sheetId="21" r:id="rId18"/>
    <sheet name="Q.3.v" sheetId="22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7" l="1"/>
  <c r="U8" i="7" s="1"/>
  <c r="C5" i="20" l="1"/>
  <c r="H5" i="20" s="1"/>
  <c r="D5" i="20"/>
  <c r="B5" i="20"/>
  <c r="M5" i="20" s="1"/>
  <c r="H6" i="19"/>
  <c r="H7" i="19"/>
  <c r="H8" i="19"/>
  <c r="H9" i="19"/>
  <c r="H10" i="19"/>
  <c r="H11" i="19"/>
  <c r="H12" i="19"/>
  <c r="H13" i="19"/>
  <c r="H14" i="19"/>
  <c r="H5" i="19"/>
  <c r="G6" i="19"/>
  <c r="G7" i="19"/>
  <c r="G8" i="19"/>
  <c r="G9" i="19"/>
  <c r="G10" i="19"/>
  <c r="G11" i="19"/>
  <c r="G12" i="19"/>
  <c r="G13" i="19"/>
  <c r="G14" i="19"/>
  <c r="G5" i="19"/>
  <c r="I5" i="19" s="1"/>
  <c r="D13" i="18"/>
  <c r="E13" i="18"/>
  <c r="G13" i="18"/>
  <c r="F13" i="18" s="1"/>
  <c r="H13" i="18"/>
  <c r="D14" i="18"/>
  <c r="E14" i="18"/>
  <c r="G14" i="18"/>
  <c r="H14" i="18"/>
  <c r="C5" i="19"/>
  <c r="B5" i="19"/>
  <c r="H6" i="18"/>
  <c r="H7" i="18"/>
  <c r="H8" i="18"/>
  <c r="H9" i="18"/>
  <c r="H10" i="18"/>
  <c r="H11" i="18"/>
  <c r="H12" i="18"/>
  <c r="H5" i="18"/>
  <c r="G6" i="18"/>
  <c r="G7" i="18"/>
  <c r="F7" i="18" s="1"/>
  <c r="G8" i="18"/>
  <c r="G9" i="18"/>
  <c r="F9" i="18" s="1"/>
  <c r="G10" i="18"/>
  <c r="F10" i="18" s="1"/>
  <c r="G11" i="18"/>
  <c r="G12" i="18"/>
  <c r="G5" i="18"/>
  <c r="O5" i="18" s="1"/>
  <c r="D6" i="18"/>
  <c r="E6" i="18"/>
  <c r="D7" i="18"/>
  <c r="E7" i="18"/>
  <c r="D8" i="18"/>
  <c r="E8" i="18"/>
  <c r="D9" i="18"/>
  <c r="E9" i="18"/>
  <c r="D10" i="18"/>
  <c r="C10" i="18" s="1"/>
  <c r="E10" i="18"/>
  <c r="D11" i="18"/>
  <c r="E11" i="18"/>
  <c r="C11" i="18" s="1"/>
  <c r="D12" i="18"/>
  <c r="E12" i="18"/>
  <c r="E5" i="18"/>
  <c r="D5" i="18"/>
  <c r="B6" i="18"/>
  <c r="B7" i="18" s="1"/>
  <c r="B8" i="18" s="1"/>
  <c r="B9" i="18" s="1"/>
  <c r="B10" i="18" s="1"/>
  <c r="B11" i="18" s="1"/>
  <c r="B12" i="18" s="1"/>
  <c r="B12" i="19" s="1"/>
  <c r="I25" i="16"/>
  <c r="N25" i="16" s="1"/>
  <c r="I26" i="16"/>
  <c r="N26" i="16" s="1"/>
  <c r="I27" i="16"/>
  <c r="N27" i="16" s="1"/>
  <c r="I28" i="16"/>
  <c r="N28" i="16" s="1"/>
  <c r="I29" i="16"/>
  <c r="N29" i="16" s="1"/>
  <c r="I30" i="16"/>
  <c r="N30" i="16" s="1"/>
  <c r="I31" i="16"/>
  <c r="N31" i="16" s="1"/>
  <c r="I32" i="16"/>
  <c r="N32" i="16" s="1"/>
  <c r="I33" i="16"/>
  <c r="N33" i="16" s="1"/>
  <c r="I34" i="16"/>
  <c r="N34" i="16" s="1"/>
  <c r="I35" i="16"/>
  <c r="N35" i="16" s="1"/>
  <c r="I24" i="16"/>
  <c r="N24" i="16" s="1"/>
  <c r="I23" i="16"/>
  <c r="N23" i="16" s="1"/>
  <c r="I22" i="16"/>
  <c r="N22" i="16" s="1"/>
  <c r="I21" i="16"/>
  <c r="N21" i="16" s="1"/>
  <c r="N20" i="16"/>
  <c r="I20" i="16"/>
  <c r="I19" i="16"/>
  <c r="N19" i="16" s="1"/>
  <c r="I18" i="16"/>
  <c r="N18" i="16" s="1"/>
  <c r="I17" i="16"/>
  <c r="N17" i="16" s="1"/>
  <c r="I16" i="16"/>
  <c r="N16" i="16" s="1"/>
  <c r="I15" i="16"/>
  <c r="N15" i="16" s="1"/>
  <c r="I14" i="16"/>
  <c r="N14" i="16" s="1"/>
  <c r="I13" i="16"/>
  <c r="N13" i="16" s="1"/>
  <c r="I12" i="16"/>
  <c r="N12" i="16" s="1"/>
  <c r="I11" i="16"/>
  <c r="N11" i="16" s="1"/>
  <c r="N10" i="16"/>
  <c r="I10" i="16"/>
  <c r="I9" i="16"/>
  <c r="N9" i="16" s="1"/>
  <c r="I8" i="16"/>
  <c r="N8" i="16" s="1"/>
  <c r="I7" i="16"/>
  <c r="N7" i="16" s="1"/>
  <c r="B7" i="16"/>
  <c r="B8" i="16" s="1"/>
  <c r="T6" i="16"/>
  <c r="M6" i="16"/>
  <c r="I6" i="16"/>
  <c r="N6" i="16" s="1"/>
  <c r="I25" i="12"/>
  <c r="N25" i="12" s="1"/>
  <c r="I24" i="12"/>
  <c r="N24" i="12" s="1"/>
  <c r="I23" i="12"/>
  <c r="N23" i="12" s="1"/>
  <c r="I22" i="12"/>
  <c r="N22" i="12" s="1"/>
  <c r="I21" i="12"/>
  <c r="N21" i="12" s="1"/>
  <c r="N20" i="12"/>
  <c r="I20" i="12"/>
  <c r="I19" i="12"/>
  <c r="N19" i="12" s="1"/>
  <c r="I18" i="12"/>
  <c r="N18" i="12" s="1"/>
  <c r="I17" i="12"/>
  <c r="N17" i="12" s="1"/>
  <c r="I16" i="12"/>
  <c r="N16" i="12" s="1"/>
  <c r="I15" i="12"/>
  <c r="N15" i="12" s="1"/>
  <c r="I14" i="12"/>
  <c r="N14" i="12" s="1"/>
  <c r="I13" i="12"/>
  <c r="N13" i="12" s="1"/>
  <c r="N12" i="12"/>
  <c r="I12" i="12"/>
  <c r="I11" i="12"/>
  <c r="N11" i="12" s="1"/>
  <c r="I10" i="12"/>
  <c r="N10" i="12" s="1"/>
  <c r="I9" i="12"/>
  <c r="N9" i="12" s="1"/>
  <c r="I8" i="12"/>
  <c r="N8" i="12" s="1"/>
  <c r="I7" i="12"/>
  <c r="N7" i="12" s="1"/>
  <c r="B7" i="12"/>
  <c r="B8" i="12" s="1"/>
  <c r="T6" i="12"/>
  <c r="M6" i="12"/>
  <c r="I6" i="12"/>
  <c r="N6" i="12" s="1"/>
  <c r="T6" i="10"/>
  <c r="I25" i="10"/>
  <c r="N25" i="10" s="1"/>
  <c r="I24" i="10"/>
  <c r="N24" i="10" s="1"/>
  <c r="I23" i="10"/>
  <c r="N23" i="10" s="1"/>
  <c r="I22" i="10"/>
  <c r="N22" i="10" s="1"/>
  <c r="I21" i="10"/>
  <c r="N21" i="10" s="1"/>
  <c r="I20" i="10"/>
  <c r="N20" i="10" s="1"/>
  <c r="I19" i="10"/>
  <c r="N19" i="10" s="1"/>
  <c r="I18" i="10"/>
  <c r="N18" i="10" s="1"/>
  <c r="I17" i="10"/>
  <c r="N17" i="10" s="1"/>
  <c r="I16" i="10"/>
  <c r="N16" i="10" s="1"/>
  <c r="I15" i="10"/>
  <c r="N15" i="10" s="1"/>
  <c r="I14" i="10"/>
  <c r="N14" i="10" s="1"/>
  <c r="I13" i="10"/>
  <c r="N13" i="10" s="1"/>
  <c r="I12" i="10"/>
  <c r="N12" i="10" s="1"/>
  <c r="I11" i="10"/>
  <c r="N11" i="10" s="1"/>
  <c r="I10" i="10"/>
  <c r="N10" i="10" s="1"/>
  <c r="I9" i="10"/>
  <c r="N9" i="10" s="1"/>
  <c r="I8" i="10"/>
  <c r="N8" i="10" s="1"/>
  <c r="I7" i="10"/>
  <c r="N7" i="10" s="1"/>
  <c r="B7" i="10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T25" i="10" s="1"/>
  <c r="M6" i="10"/>
  <c r="I6" i="10"/>
  <c r="N6" i="10" s="1"/>
  <c r="O15" i="9"/>
  <c r="N7" i="9"/>
  <c r="N13" i="9"/>
  <c r="M6" i="9"/>
  <c r="I8" i="9"/>
  <c r="N8" i="9" s="1"/>
  <c r="I9" i="9"/>
  <c r="N9" i="9" s="1"/>
  <c r="I10" i="9"/>
  <c r="N10" i="9" s="1"/>
  <c r="I11" i="9"/>
  <c r="N11" i="9" s="1"/>
  <c r="I12" i="9"/>
  <c r="N12" i="9" s="1"/>
  <c r="I13" i="9"/>
  <c r="I14" i="9"/>
  <c r="N14" i="9" s="1"/>
  <c r="I15" i="9"/>
  <c r="N15" i="9" s="1"/>
  <c r="I16" i="9"/>
  <c r="N16" i="9" s="1"/>
  <c r="I17" i="9"/>
  <c r="N17" i="9" s="1"/>
  <c r="I18" i="9"/>
  <c r="N18" i="9" s="1"/>
  <c r="I19" i="9"/>
  <c r="N19" i="9" s="1"/>
  <c r="I20" i="9"/>
  <c r="N20" i="9" s="1"/>
  <c r="I21" i="9"/>
  <c r="N21" i="9" s="1"/>
  <c r="I22" i="9"/>
  <c r="N22" i="9" s="1"/>
  <c r="I23" i="9"/>
  <c r="N23" i="9" s="1"/>
  <c r="I24" i="9"/>
  <c r="N24" i="9" s="1"/>
  <c r="I25" i="9"/>
  <c r="N25" i="9" s="1"/>
  <c r="I7" i="9"/>
  <c r="I6" i="9"/>
  <c r="H6" i="9"/>
  <c r="E6" i="9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F5" i="8"/>
  <c r="F6" i="8" s="1"/>
  <c r="F7" i="8" s="1"/>
  <c r="F8" i="8" s="1"/>
  <c r="F9" i="8" s="1"/>
  <c r="F10" i="8" s="1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F28" i="8" s="1"/>
  <c r="F29" i="8" s="1"/>
  <c r="F30" i="8" s="1"/>
  <c r="F31" i="8" s="1"/>
  <c r="F32" i="8" s="1"/>
  <c r="F33" i="8" s="1"/>
  <c r="C4" i="8"/>
  <c r="C3" i="8"/>
  <c r="O11" i="9" s="1"/>
  <c r="L22" i="7"/>
  <c r="G22" i="7"/>
  <c r="L21" i="7"/>
  <c r="G21" i="7"/>
  <c r="L20" i="7"/>
  <c r="G20" i="7"/>
  <c r="L19" i="7"/>
  <c r="G19" i="7"/>
  <c r="L18" i="7"/>
  <c r="G18" i="7"/>
  <c r="L17" i="7"/>
  <c r="G17" i="7"/>
  <c r="L16" i="7"/>
  <c r="G16" i="7"/>
  <c r="L15" i="7"/>
  <c r="G15" i="7"/>
  <c r="D15" i="7"/>
  <c r="F15" i="7" s="1"/>
  <c r="L14" i="7"/>
  <c r="G14" i="7"/>
  <c r="L13" i="7"/>
  <c r="G13" i="7"/>
  <c r="L12" i="7"/>
  <c r="G12" i="7"/>
  <c r="L11" i="7"/>
  <c r="G11" i="7"/>
  <c r="L10" i="7"/>
  <c r="G10" i="7"/>
  <c r="L9" i="7"/>
  <c r="G9" i="7"/>
  <c r="K8" i="7"/>
  <c r="G8" i="7"/>
  <c r="C8" i="7"/>
  <c r="X8" i="7" s="1"/>
  <c r="T22" i="6"/>
  <c r="L22" i="6"/>
  <c r="G22" i="6"/>
  <c r="L21" i="6"/>
  <c r="G21" i="6"/>
  <c r="L20" i="6"/>
  <c r="G20" i="6"/>
  <c r="L19" i="6"/>
  <c r="G19" i="6"/>
  <c r="L18" i="6"/>
  <c r="G18" i="6"/>
  <c r="L17" i="6"/>
  <c r="G17" i="6"/>
  <c r="L16" i="6"/>
  <c r="G16" i="6"/>
  <c r="L15" i="6"/>
  <c r="G15" i="6"/>
  <c r="L14" i="6"/>
  <c r="G14" i="6"/>
  <c r="D14" i="6"/>
  <c r="F14" i="6" s="1"/>
  <c r="L13" i="6"/>
  <c r="G13" i="6"/>
  <c r="L12" i="6"/>
  <c r="J12" i="6"/>
  <c r="G12" i="6"/>
  <c r="L11" i="6"/>
  <c r="G11" i="6"/>
  <c r="L10" i="6"/>
  <c r="G10" i="6"/>
  <c r="L9" i="6"/>
  <c r="G9" i="6"/>
  <c r="K8" i="6"/>
  <c r="G8" i="6"/>
  <c r="C8" i="6"/>
  <c r="L22" i="5"/>
  <c r="G22" i="5"/>
  <c r="L21" i="5"/>
  <c r="G21" i="5"/>
  <c r="L20" i="5"/>
  <c r="G20" i="5"/>
  <c r="L19" i="5"/>
  <c r="G19" i="5"/>
  <c r="L18" i="5"/>
  <c r="G18" i="5"/>
  <c r="L17" i="5"/>
  <c r="G17" i="5"/>
  <c r="L16" i="5"/>
  <c r="G16" i="5"/>
  <c r="L15" i="5"/>
  <c r="G15" i="5"/>
  <c r="L14" i="5"/>
  <c r="G14" i="5"/>
  <c r="L13" i="5"/>
  <c r="G13" i="5"/>
  <c r="L12" i="5"/>
  <c r="G12" i="5"/>
  <c r="L11" i="5"/>
  <c r="G11" i="5"/>
  <c r="L10" i="5"/>
  <c r="G10" i="5"/>
  <c r="L9" i="5"/>
  <c r="G9" i="5"/>
  <c r="K8" i="5"/>
  <c r="G8" i="5"/>
  <c r="C8" i="5"/>
  <c r="U8" i="5" s="1"/>
  <c r="K22" i="4"/>
  <c r="E22" i="4"/>
  <c r="K21" i="4"/>
  <c r="E21" i="4"/>
  <c r="K20" i="4"/>
  <c r="E20" i="4"/>
  <c r="K19" i="4"/>
  <c r="E19" i="4"/>
  <c r="K18" i="4"/>
  <c r="E18" i="4"/>
  <c r="K17" i="4"/>
  <c r="E17" i="4"/>
  <c r="K16" i="4"/>
  <c r="E16" i="4"/>
  <c r="K15" i="4"/>
  <c r="E15" i="4"/>
  <c r="K14" i="4"/>
  <c r="E14" i="4"/>
  <c r="K13" i="4"/>
  <c r="E13" i="4"/>
  <c r="K12" i="4"/>
  <c r="E12" i="4"/>
  <c r="K11" i="4"/>
  <c r="E11" i="4"/>
  <c r="K10" i="4"/>
  <c r="E10" i="4"/>
  <c r="C10" i="4"/>
  <c r="K9" i="4"/>
  <c r="E9" i="4"/>
  <c r="C9" i="4"/>
  <c r="K8" i="4"/>
  <c r="E8" i="4"/>
  <c r="D8" i="4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8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9" i="3"/>
  <c r="K8" i="3"/>
  <c r="C8" i="3"/>
  <c r="T8" i="3" s="1"/>
  <c r="K9" i="2"/>
  <c r="J9" i="5" s="1"/>
  <c r="K10" i="2"/>
  <c r="J10" i="7" s="1"/>
  <c r="K11" i="2"/>
  <c r="J11" i="7" s="1"/>
  <c r="K12" i="2"/>
  <c r="J12" i="7" s="1"/>
  <c r="K13" i="2"/>
  <c r="J13" i="7" s="1"/>
  <c r="K14" i="2"/>
  <c r="J14" i="6" s="1"/>
  <c r="K15" i="2"/>
  <c r="J15" i="3" s="1"/>
  <c r="K16" i="2"/>
  <c r="J16" i="7" s="1"/>
  <c r="K17" i="2"/>
  <c r="J17" i="6" s="1"/>
  <c r="K18" i="2"/>
  <c r="J18" i="5" s="1"/>
  <c r="K19" i="2"/>
  <c r="J19" i="7" s="1"/>
  <c r="K20" i="2"/>
  <c r="J20" i="7" s="1"/>
  <c r="K21" i="2"/>
  <c r="J21" i="6" s="1"/>
  <c r="K22" i="2"/>
  <c r="J22" i="3" s="1"/>
  <c r="K8" i="2"/>
  <c r="J8" i="5" s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8" i="2"/>
  <c r="D8" i="2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2" i="6" s="1"/>
  <c r="F22" i="6" s="1"/>
  <c r="C9" i="2"/>
  <c r="C9" i="7" s="1"/>
  <c r="X9" i="7" s="1"/>
  <c r="J10" i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F6" i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J12" i="5" l="1"/>
  <c r="J19" i="6"/>
  <c r="B6" i="19"/>
  <c r="D12" i="3"/>
  <c r="F12" i="3" s="1"/>
  <c r="J20" i="3"/>
  <c r="D21" i="5"/>
  <c r="F21" i="5" s="1"/>
  <c r="J10" i="5"/>
  <c r="J11" i="6"/>
  <c r="J12" i="3"/>
  <c r="J11" i="3"/>
  <c r="J10" i="3"/>
  <c r="D17" i="6"/>
  <c r="F17" i="6" s="1"/>
  <c r="D12" i="7"/>
  <c r="F12" i="7" s="1"/>
  <c r="O25" i="9"/>
  <c r="D21" i="3"/>
  <c r="F21" i="3" s="1"/>
  <c r="D22" i="5"/>
  <c r="F22" i="5" s="1"/>
  <c r="D19" i="3"/>
  <c r="F19" i="3" s="1"/>
  <c r="J19" i="3"/>
  <c r="J13" i="5"/>
  <c r="D17" i="5"/>
  <c r="F17" i="5" s="1"/>
  <c r="D10" i="6"/>
  <c r="F10" i="6" s="1"/>
  <c r="J18" i="6"/>
  <c r="D21" i="6"/>
  <c r="F21" i="6" s="1"/>
  <c r="D19" i="7"/>
  <c r="F19" i="7" s="1"/>
  <c r="D22" i="7"/>
  <c r="F22" i="7" s="1"/>
  <c r="T22" i="7" s="1"/>
  <c r="K6" i="9"/>
  <c r="O22" i="9"/>
  <c r="O8" i="9"/>
  <c r="B13" i="18"/>
  <c r="D9" i="6"/>
  <c r="F9" i="6" s="1"/>
  <c r="D20" i="6"/>
  <c r="F20" i="6" s="1"/>
  <c r="D20" i="3"/>
  <c r="F20" i="3" s="1"/>
  <c r="D17" i="3"/>
  <c r="F17" i="3" s="1"/>
  <c r="J18" i="3"/>
  <c r="D20" i="5"/>
  <c r="F20" i="5" s="1"/>
  <c r="D13" i="6"/>
  <c r="F13" i="6" s="1"/>
  <c r="D16" i="6"/>
  <c r="F16" i="6" s="1"/>
  <c r="N6" i="9"/>
  <c r="O21" i="9"/>
  <c r="O7" i="9"/>
  <c r="D9" i="3"/>
  <c r="F9" i="3" s="1"/>
  <c r="J9" i="3"/>
  <c r="D8" i="5"/>
  <c r="F8" i="5" s="1"/>
  <c r="E9" i="5" s="1"/>
  <c r="D14" i="3"/>
  <c r="F14" i="3" s="1"/>
  <c r="J17" i="3"/>
  <c r="C9" i="5"/>
  <c r="U9" i="5" s="1"/>
  <c r="J11" i="5"/>
  <c r="O17" i="9"/>
  <c r="O24" i="10"/>
  <c r="D13" i="3"/>
  <c r="F13" i="3" s="1"/>
  <c r="D9" i="5"/>
  <c r="F9" i="5" s="1"/>
  <c r="D18" i="5"/>
  <c r="F18" i="5" s="1"/>
  <c r="D9" i="7"/>
  <c r="F9" i="7" s="1"/>
  <c r="J17" i="7"/>
  <c r="D20" i="7"/>
  <c r="F20" i="7" s="1"/>
  <c r="O16" i="9"/>
  <c r="O19" i="10"/>
  <c r="C9" i="18"/>
  <c r="B7" i="19"/>
  <c r="D22" i="3"/>
  <c r="F22" i="3" s="1"/>
  <c r="D11" i="3"/>
  <c r="F11" i="3" s="1"/>
  <c r="O14" i="9"/>
  <c r="D19" i="5"/>
  <c r="F19" i="5" s="1"/>
  <c r="D10" i="7"/>
  <c r="F10" i="7" s="1"/>
  <c r="J18" i="7"/>
  <c r="O24" i="9"/>
  <c r="O13" i="9"/>
  <c r="B26" i="10"/>
  <c r="T26" i="10" s="1"/>
  <c r="C12" i="18"/>
  <c r="D13" i="7"/>
  <c r="F13" i="7" s="1"/>
  <c r="D16" i="7"/>
  <c r="F16" i="7" s="1"/>
  <c r="O23" i="9"/>
  <c r="O12" i="9"/>
  <c r="D6" i="10"/>
  <c r="D6" i="16"/>
  <c r="D6" i="12"/>
  <c r="D6" i="9"/>
  <c r="J14" i="5"/>
  <c r="J8" i="6"/>
  <c r="J22" i="6"/>
  <c r="J21" i="7"/>
  <c r="J6" i="9"/>
  <c r="I5" i="20"/>
  <c r="J5" i="20" s="1"/>
  <c r="F10" i="4"/>
  <c r="J15" i="6"/>
  <c r="J14" i="7"/>
  <c r="E6" i="16"/>
  <c r="E6" i="12"/>
  <c r="E6" i="10"/>
  <c r="L6" i="9"/>
  <c r="C11" i="4"/>
  <c r="C12" i="4" s="1"/>
  <c r="F6" i="12"/>
  <c r="F6" i="16"/>
  <c r="F6" i="10"/>
  <c r="K5" i="18"/>
  <c r="D18" i="3"/>
  <c r="F18" i="3" s="1"/>
  <c r="D10" i="3"/>
  <c r="F10" i="3" s="1"/>
  <c r="J16" i="3"/>
  <c r="D10" i="5"/>
  <c r="F10" i="5" s="1"/>
  <c r="D11" i="5"/>
  <c r="F11" i="5" s="1"/>
  <c r="D12" i="5"/>
  <c r="F12" i="5" s="1"/>
  <c r="D13" i="5"/>
  <c r="F13" i="5" s="1"/>
  <c r="J16" i="5"/>
  <c r="J17" i="5"/>
  <c r="J19" i="5"/>
  <c r="J20" i="5"/>
  <c r="J21" i="5"/>
  <c r="J22" i="5"/>
  <c r="J9" i="6"/>
  <c r="D11" i="6"/>
  <c r="F11" i="6" s="1"/>
  <c r="J16" i="6"/>
  <c r="J15" i="7"/>
  <c r="D17" i="7"/>
  <c r="F17" i="7" s="1"/>
  <c r="J22" i="7"/>
  <c r="H6" i="16"/>
  <c r="H6" i="12"/>
  <c r="H6" i="10"/>
  <c r="J15" i="5"/>
  <c r="J8" i="7"/>
  <c r="F9" i="4"/>
  <c r="G9" i="4" s="1"/>
  <c r="H9" i="4" s="1"/>
  <c r="D14" i="5"/>
  <c r="F14" i="5" s="1"/>
  <c r="D8" i="6"/>
  <c r="J13" i="6"/>
  <c r="D18" i="6"/>
  <c r="F18" i="6" s="1"/>
  <c r="J20" i="6"/>
  <c r="J9" i="7"/>
  <c r="D21" i="7"/>
  <c r="F21" i="7" s="1"/>
  <c r="F6" i="9"/>
  <c r="F9" i="2"/>
  <c r="G9" i="2" s="1"/>
  <c r="H9" i="2" s="1"/>
  <c r="D16" i="3"/>
  <c r="F16" i="3" s="1"/>
  <c r="D8" i="3"/>
  <c r="F8" i="3" s="1"/>
  <c r="E9" i="3" s="1"/>
  <c r="J14" i="3"/>
  <c r="D15" i="5"/>
  <c r="F15" i="5" s="1"/>
  <c r="J10" i="6"/>
  <c r="D15" i="6"/>
  <c r="F15" i="6" s="1"/>
  <c r="D11" i="7"/>
  <c r="F11" i="7" s="1"/>
  <c r="D14" i="7"/>
  <c r="F14" i="7" s="1"/>
  <c r="D18" i="7"/>
  <c r="F18" i="7" s="1"/>
  <c r="O20" i="9"/>
  <c r="J8" i="3"/>
  <c r="C9" i="3"/>
  <c r="T9" i="3" s="1"/>
  <c r="D15" i="3"/>
  <c r="F15" i="3" s="1"/>
  <c r="J21" i="3"/>
  <c r="J13" i="3"/>
  <c r="D16" i="5"/>
  <c r="F16" i="5" s="1"/>
  <c r="C9" i="6"/>
  <c r="D12" i="6"/>
  <c r="F12" i="6" s="1"/>
  <c r="D19" i="6"/>
  <c r="F19" i="6" s="1"/>
  <c r="D8" i="7"/>
  <c r="F8" i="7" s="1"/>
  <c r="O22" i="12"/>
  <c r="O21" i="10"/>
  <c r="O16" i="10"/>
  <c r="O12" i="10"/>
  <c r="O7" i="10"/>
  <c r="O21" i="16"/>
  <c r="O14" i="16"/>
  <c r="O7" i="16"/>
  <c r="O6" i="16"/>
  <c r="O15" i="12"/>
  <c r="O8" i="12"/>
  <c r="O7" i="12"/>
  <c r="O6" i="12"/>
  <c r="O8" i="10"/>
  <c r="C6" i="10"/>
  <c r="O35" i="16"/>
  <c r="O8" i="16"/>
  <c r="C6" i="16"/>
  <c r="O23" i="12"/>
  <c r="O16" i="12"/>
  <c r="O9" i="12"/>
  <c r="O22" i="10"/>
  <c r="O17" i="10"/>
  <c r="O13" i="10"/>
  <c r="O9" i="10"/>
  <c r="O34" i="16"/>
  <c r="O22" i="16"/>
  <c r="O15" i="16"/>
  <c r="O10" i="16"/>
  <c r="O9" i="16"/>
  <c r="O24" i="12"/>
  <c r="O17" i="12"/>
  <c r="O11" i="12"/>
  <c r="O10" i="12"/>
  <c r="C6" i="12"/>
  <c r="O33" i="16"/>
  <c r="O23" i="16"/>
  <c r="O16" i="16"/>
  <c r="O11" i="16"/>
  <c r="O25" i="12"/>
  <c r="O19" i="12"/>
  <c r="O18" i="12"/>
  <c r="O12" i="12"/>
  <c r="O23" i="10"/>
  <c r="O18" i="10"/>
  <c r="O14" i="10"/>
  <c r="O10" i="10"/>
  <c r="O10" i="9"/>
  <c r="O18" i="9"/>
  <c r="O6" i="9"/>
  <c r="O25" i="16"/>
  <c r="O32" i="16"/>
  <c r="O24" i="16"/>
  <c r="O18" i="16"/>
  <c r="O17" i="16"/>
  <c r="O12" i="16"/>
  <c r="O20" i="12"/>
  <c r="O13" i="12"/>
  <c r="O26" i="16"/>
  <c r="O27" i="16"/>
  <c r="O31" i="16"/>
  <c r="O19" i="16"/>
  <c r="O21" i="12"/>
  <c r="O20" i="10"/>
  <c r="O15" i="10"/>
  <c r="O11" i="10"/>
  <c r="O28" i="16"/>
  <c r="O29" i="16"/>
  <c r="O30" i="16"/>
  <c r="O20" i="16"/>
  <c r="O13" i="16"/>
  <c r="O14" i="12"/>
  <c r="O25" i="10"/>
  <c r="O6" i="10"/>
  <c r="C6" i="9"/>
  <c r="O19" i="9"/>
  <c r="O9" i="9"/>
  <c r="T7" i="12"/>
  <c r="B9" i="19"/>
  <c r="B8" i="19"/>
  <c r="B6" i="20"/>
  <c r="C6" i="18"/>
  <c r="F8" i="18"/>
  <c r="B11" i="19"/>
  <c r="T7" i="16"/>
  <c r="C5" i="18"/>
  <c r="B10" i="19"/>
  <c r="F14" i="18"/>
  <c r="N5" i="20"/>
  <c r="C14" i="18"/>
  <c r="C13" i="18"/>
  <c r="F11" i="18"/>
  <c r="F6" i="18"/>
  <c r="F5" i="18"/>
  <c r="C8" i="18"/>
  <c r="C7" i="18"/>
  <c r="F12" i="18"/>
  <c r="J5" i="18"/>
  <c r="B9" i="16"/>
  <c r="T8" i="16"/>
  <c r="B9" i="12"/>
  <c r="T8" i="12"/>
  <c r="T22" i="10"/>
  <c r="T14" i="10"/>
  <c r="T21" i="10"/>
  <c r="T13" i="10"/>
  <c r="T20" i="10"/>
  <c r="T12" i="10"/>
  <c r="T19" i="10"/>
  <c r="T11" i="10"/>
  <c r="T18" i="10"/>
  <c r="T10" i="10"/>
  <c r="T17" i="10"/>
  <c r="T9" i="10"/>
  <c r="T24" i="10"/>
  <c r="T16" i="10"/>
  <c r="T8" i="10"/>
  <c r="T23" i="10"/>
  <c r="T15" i="10"/>
  <c r="T7" i="10"/>
  <c r="E10" i="5"/>
  <c r="E11" i="5" s="1"/>
  <c r="E12" i="5" s="1"/>
  <c r="I9" i="4"/>
  <c r="G10" i="4"/>
  <c r="H10" i="4" s="1"/>
  <c r="C13" i="4"/>
  <c r="F12" i="4"/>
  <c r="G12" i="4" s="1"/>
  <c r="H12" i="4" s="1"/>
  <c r="F8" i="4"/>
  <c r="G8" i="4" s="1"/>
  <c r="H8" i="4" s="1"/>
  <c r="C10" i="2"/>
  <c r="F8" i="2"/>
  <c r="R6" i="12" l="1"/>
  <c r="E10" i="3"/>
  <c r="E11" i="3" s="1"/>
  <c r="E12" i="3" s="1"/>
  <c r="E13" i="3" s="1"/>
  <c r="E14" i="3" s="1"/>
  <c r="E15" i="3" s="1"/>
  <c r="E16" i="3" s="1"/>
  <c r="F11" i="4"/>
  <c r="G11" i="4" s="1"/>
  <c r="H11" i="4" s="1"/>
  <c r="F8" i="6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9" i="7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13" i="5"/>
  <c r="E14" i="5" s="1"/>
  <c r="E15" i="5" s="1"/>
  <c r="E16" i="5" s="1"/>
  <c r="E17" i="5" s="1"/>
  <c r="E18" i="5" s="1"/>
  <c r="E19" i="5" s="1"/>
  <c r="E20" i="5" s="1"/>
  <c r="E21" i="5" s="1"/>
  <c r="E22" i="5" s="1"/>
  <c r="R6" i="10"/>
  <c r="G7" i="9"/>
  <c r="Q6" i="9"/>
  <c r="B13" i="19"/>
  <c r="B14" i="18"/>
  <c r="I9" i="5"/>
  <c r="I9" i="6"/>
  <c r="I9" i="7"/>
  <c r="I9" i="3"/>
  <c r="E17" i="3"/>
  <c r="E18" i="3" s="1"/>
  <c r="E19" i="3" s="1"/>
  <c r="E20" i="3" s="1"/>
  <c r="E21" i="3" s="1"/>
  <c r="E22" i="3" s="1"/>
  <c r="H9" i="3"/>
  <c r="H9" i="5"/>
  <c r="H9" i="7"/>
  <c r="H9" i="6"/>
  <c r="M7" i="10"/>
  <c r="M7" i="16"/>
  <c r="M7" i="12"/>
  <c r="M7" i="9"/>
  <c r="F7" i="10"/>
  <c r="F7" i="16"/>
  <c r="F7" i="12"/>
  <c r="F7" i="9"/>
  <c r="E7" i="16"/>
  <c r="E7" i="12"/>
  <c r="E7" i="9"/>
  <c r="E7" i="10"/>
  <c r="I9" i="2"/>
  <c r="C10" i="3"/>
  <c r="T10" i="3" s="1"/>
  <c r="C10" i="5"/>
  <c r="U10" i="5" s="1"/>
  <c r="C10" i="7"/>
  <c r="X10" i="7" s="1"/>
  <c r="C10" i="6"/>
  <c r="H7" i="10"/>
  <c r="H7" i="16"/>
  <c r="H7" i="12"/>
  <c r="H7" i="9"/>
  <c r="R6" i="16"/>
  <c r="H8" i="6"/>
  <c r="H8" i="3"/>
  <c r="H8" i="5"/>
  <c r="H8" i="7"/>
  <c r="L6" i="12"/>
  <c r="K6" i="12"/>
  <c r="Q6" i="12" s="1"/>
  <c r="J6" i="12"/>
  <c r="G7" i="12" s="1"/>
  <c r="J6" i="16"/>
  <c r="G7" i="16" s="1"/>
  <c r="L6" i="16"/>
  <c r="K6" i="16"/>
  <c r="L5" i="18"/>
  <c r="M5" i="18" s="1"/>
  <c r="I6" i="18" s="1"/>
  <c r="P5" i="18"/>
  <c r="G8" i="2"/>
  <c r="H8" i="2" s="1"/>
  <c r="M6" i="20"/>
  <c r="B7" i="20"/>
  <c r="K6" i="10"/>
  <c r="J6" i="10"/>
  <c r="G7" i="10" s="1"/>
  <c r="L6" i="10"/>
  <c r="B10" i="16"/>
  <c r="T9" i="16"/>
  <c r="B10" i="12"/>
  <c r="T9" i="12"/>
  <c r="I8" i="4"/>
  <c r="I12" i="4"/>
  <c r="I11" i="4"/>
  <c r="F13" i="4"/>
  <c r="G13" i="4" s="1"/>
  <c r="H13" i="4" s="1"/>
  <c r="C14" i="4"/>
  <c r="I10" i="4"/>
  <c r="F10" i="2"/>
  <c r="C11" i="2"/>
  <c r="C6" i="20" l="1"/>
  <c r="H6" i="20" s="1"/>
  <c r="N6" i="20" s="1"/>
  <c r="J6" i="18"/>
  <c r="R7" i="10"/>
  <c r="R7" i="12"/>
  <c r="I8" i="2"/>
  <c r="R7" i="16"/>
  <c r="J7" i="9"/>
  <c r="J8" i="4"/>
  <c r="L8" i="4" s="1"/>
  <c r="M8" i="4" s="1"/>
  <c r="N8" i="4" s="1"/>
  <c r="L7" i="9"/>
  <c r="K7" i="9"/>
  <c r="F8" i="12"/>
  <c r="F8" i="16"/>
  <c r="F8" i="10"/>
  <c r="F8" i="9"/>
  <c r="L7" i="16"/>
  <c r="J7" i="16"/>
  <c r="G8" i="16" s="1"/>
  <c r="K7" i="16"/>
  <c r="M8" i="6"/>
  <c r="G10" i="2"/>
  <c r="H10" i="2" s="1"/>
  <c r="H10" i="5"/>
  <c r="H10" i="7"/>
  <c r="H10" i="6"/>
  <c r="H10" i="3"/>
  <c r="T5" i="18"/>
  <c r="E5" i="20"/>
  <c r="D5" i="19"/>
  <c r="I8" i="5"/>
  <c r="I8" i="3"/>
  <c r="N8" i="3" s="1"/>
  <c r="I8" i="7"/>
  <c r="N8" i="7" s="1"/>
  <c r="I8" i="6"/>
  <c r="N8" i="6" s="1"/>
  <c r="B8" i="20"/>
  <c r="M7" i="20"/>
  <c r="Q6" i="16"/>
  <c r="S6" i="12"/>
  <c r="U6" i="12" s="1"/>
  <c r="M9" i="7"/>
  <c r="N9" i="7" s="1"/>
  <c r="M8" i="3"/>
  <c r="Q5" i="18"/>
  <c r="R5" i="18" s="1"/>
  <c r="N6" i="18" s="1"/>
  <c r="K7" i="10"/>
  <c r="L7" i="10"/>
  <c r="J7" i="10"/>
  <c r="G8" i="10" s="1"/>
  <c r="J8" i="2"/>
  <c r="L8" i="2" s="1"/>
  <c r="M8" i="2" s="1"/>
  <c r="N8" i="2" s="1"/>
  <c r="S6" i="10"/>
  <c r="U6" i="10" s="1"/>
  <c r="K7" i="12"/>
  <c r="J7" i="12"/>
  <c r="G8" i="12" s="1"/>
  <c r="L7" i="12"/>
  <c r="E8" i="12"/>
  <c r="E8" i="16"/>
  <c r="R8" i="16" s="1"/>
  <c r="E8" i="10"/>
  <c r="E8" i="9"/>
  <c r="M9" i="6"/>
  <c r="N9" i="6" s="1"/>
  <c r="M9" i="5"/>
  <c r="N9" i="5" s="1"/>
  <c r="Q6" i="10"/>
  <c r="C11" i="7"/>
  <c r="X11" i="7" s="1"/>
  <c r="C11" i="3"/>
  <c r="T11" i="3" s="1"/>
  <c r="C11" i="6"/>
  <c r="C11" i="5"/>
  <c r="U11" i="5" s="1"/>
  <c r="M8" i="7"/>
  <c r="M8" i="12"/>
  <c r="M8" i="16"/>
  <c r="M8" i="10"/>
  <c r="M8" i="9"/>
  <c r="M9" i="3"/>
  <c r="N9" i="3" s="1"/>
  <c r="Q7" i="16"/>
  <c r="S6" i="16"/>
  <c r="U6" i="16" s="1"/>
  <c r="M8" i="5"/>
  <c r="N8" i="5" s="1"/>
  <c r="H8" i="12"/>
  <c r="H8" i="16"/>
  <c r="H8" i="10"/>
  <c r="H8" i="9"/>
  <c r="P6" i="18"/>
  <c r="B11" i="16"/>
  <c r="T10" i="16"/>
  <c r="B11" i="12"/>
  <c r="T10" i="12"/>
  <c r="F14" i="4"/>
  <c r="G14" i="4" s="1"/>
  <c r="H14" i="4" s="1"/>
  <c r="C15" i="4"/>
  <c r="I13" i="4"/>
  <c r="C12" i="2"/>
  <c r="F11" i="2"/>
  <c r="M10" i="6" l="1"/>
  <c r="G8" i="9"/>
  <c r="J8" i="9"/>
  <c r="G9" i="9" s="1"/>
  <c r="R8" i="10"/>
  <c r="Q7" i="9"/>
  <c r="Q7" i="12"/>
  <c r="C6" i="19"/>
  <c r="I6" i="19" s="1"/>
  <c r="D6" i="20"/>
  <c r="O6" i="18"/>
  <c r="K6" i="18" s="1"/>
  <c r="L6" i="18" s="1"/>
  <c r="R8" i="12"/>
  <c r="M10" i="5"/>
  <c r="E9" i="16"/>
  <c r="E9" i="10"/>
  <c r="E9" i="12"/>
  <c r="E9" i="9"/>
  <c r="K8" i="9"/>
  <c r="Q8" i="9" s="1"/>
  <c r="M8" i="20"/>
  <c r="B9" i="20"/>
  <c r="I10" i="2"/>
  <c r="I10" i="5"/>
  <c r="N10" i="5" s="1"/>
  <c r="I10" i="7"/>
  <c r="I10" i="6"/>
  <c r="N10" i="6" s="1"/>
  <c r="I10" i="3"/>
  <c r="S7" i="16"/>
  <c r="U7" i="16" s="1"/>
  <c r="L8" i="9"/>
  <c r="C12" i="6"/>
  <c r="C12" i="5"/>
  <c r="U12" i="5" s="1"/>
  <c r="C12" i="3"/>
  <c r="T12" i="3" s="1"/>
  <c r="C12" i="7"/>
  <c r="X12" i="7" s="1"/>
  <c r="J8" i="12"/>
  <c r="G9" i="12" s="1"/>
  <c r="L8" i="12"/>
  <c r="K8" i="12"/>
  <c r="J8" i="10"/>
  <c r="G9" i="10" s="1"/>
  <c r="K8" i="10"/>
  <c r="L8" i="10"/>
  <c r="F9" i="12"/>
  <c r="F9" i="16"/>
  <c r="F9" i="10"/>
  <c r="F9" i="9"/>
  <c r="S7" i="12"/>
  <c r="U7" i="12" s="1"/>
  <c r="H9" i="12"/>
  <c r="H9" i="16"/>
  <c r="H9" i="10"/>
  <c r="H9" i="9"/>
  <c r="S7" i="10"/>
  <c r="U7" i="10" s="1"/>
  <c r="Q7" i="10"/>
  <c r="M10" i="3"/>
  <c r="K8" i="16"/>
  <c r="L8" i="16"/>
  <c r="J8" i="16"/>
  <c r="G9" i="16" s="1"/>
  <c r="G11" i="2"/>
  <c r="H11" i="2" s="1"/>
  <c r="H11" i="6"/>
  <c r="H11" i="5"/>
  <c r="H11" i="3"/>
  <c r="H11" i="7"/>
  <c r="M9" i="12"/>
  <c r="M9" i="16"/>
  <c r="M9" i="10"/>
  <c r="M9" i="9"/>
  <c r="U5" i="18"/>
  <c r="V5" i="18" s="1"/>
  <c r="S6" i="18" s="1"/>
  <c r="F5" i="20"/>
  <c r="G5" i="20" s="1"/>
  <c r="E5" i="19"/>
  <c r="F5" i="19" s="1"/>
  <c r="J5" i="19" s="1"/>
  <c r="M10" i="7"/>
  <c r="B12" i="16"/>
  <c r="T11" i="16"/>
  <c r="B12" i="12"/>
  <c r="T11" i="12"/>
  <c r="I14" i="4"/>
  <c r="O8" i="4"/>
  <c r="C16" i="4"/>
  <c r="F15" i="4"/>
  <c r="G15" i="4" s="1"/>
  <c r="H15" i="4" s="1"/>
  <c r="O8" i="2"/>
  <c r="C13" i="2"/>
  <c r="F12" i="2"/>
  <c r="P8" i="4" l="1"/>
  <c r="O8" i="5"/>
  <c r="O8" i="6"/>
  <c r="O8" i="7"/>
  <c r="J9" i="9"/>
  <c r="G10" i="9" s="1"/>
  <c r="I11" i="2"/>
  <c r="N10" i="3"/>
  <c r="N10" i="7"/>
  <c r="K9" i="9"/>
  <c r="Q9" i="9" s="1"/>
  <c r="R9" i="16"/>
  <c r="L9" i="9"/>
  <c r="Q8" i="12"/>
  <c r="K5" i="20"/>
  <c r="L5" i="20" s="1"/>
  <c r="O5" i="20" s="1"/>
  <c r="K5" i="19"/>
  <c r="M6" i="18"/>
  <c r="I7" i="18" s="1"/>
  <c r="C7" i="20" s="1"/>
  <c r="H7" i="20" s="1"/>
  <c r="D6" i="19"/>
  <c r="T6" i="18"/>
  <c r="E6" i="20"/>
  <c r="Q8" i="4"/>
  <c r="R8" i="4" s="1"/>
  <c r="M10" i="12"/>
  <c r="M10" i="9"/>
  <c r="M10" i="16"/>
  <c r="M10" i="10"/>
  <c r="M11" i="7"/>
  <c r="F10" i="16"/>
  <c r="F10" i="10"/>
  <c r="F10" i="12"/>
  <c r="F10" i="9"/>
  <c r="G12" i="2"/>
  <c r="H12" i="2" s="1"/>
  <c r="H12" i="5"/>
  <c r="H12" i="7"/>
  <c r="H12" i="3"/>
  <c r="H12" i="6"/>
  <c r="C13" i="5"/>
  <c r="U13" i="5" s="1"/>
  <c r="C13" i="3"/>
  <c r="T13" i="3" s="1"/>
  <c r="C13" i="7"/>
  <c r="X13" i="7" s="1"/>
  <c r="C13" i="6"/>
  <c r="S8" i="12"/>
  <c r="U8" i="12" s="1"/>
  <c r="S8" i="16"/>
  <c r="U8" i="16" s="1"/>
  <c r="H10" i="12"/>
  <c r="H10" i="16"/>
  <c r="H10" i="10"/>
  <c r="H10" i="9"/>
  <c r="J10" i="9" s="1"/>
  <c r="G11" i="9" s="1"/>
  <c r="E10" i="12"/>
  <c r="E10" i="16"/>
  <c r="E10" i="10"/>
  <c r="E10" i="9"/>
  <c r="Q8" i="16"/>
  <c r="M11" i="3"/>
  <c r="I6" i="20"/>
  <c r="J6" i="20" s="1"/>
  <c r="L9" i="10"/>
  <c r="J9" i="10"/>
  <c r="G10" i="10" s="1"/>
  <c r="K9" i="10"/>
  <c r="J9" i="16"/>
  <c r="G10" i="16" s="1"/>
  <c r="L9" i="16"/>
  <c r="K9" i="16"/>
  <c r="R9" i="12"/>
  <c r="M9" i="20"/>
  <c r="B10" i="20"/>
  <c r="M11" i="5"/>
  <c r="S8" i="10"/>
  <c r="U8" i="10" s="1"/>
  <c r="Q8" i="10"/>
  <c r="M11" i="6"/>
  <c r="I11" i="6"/>
  <c r="N11" i="6" s="1"/>
  <c r="I11" i="5"/>
  <c r="I11" i="3"/>
  <c r="N11" i="3" s="1"/>
  <c r="I11" i="7"/>
  <c r="L9" i="12"/>
  <c r="K9" i="12"/>
  <c r="S9" i="12" s="1"/>
  <c r="J9" i="12"/>
  <c r="G10" i="12" s="1"/>
  <c r="R9" i="10"/>
  <c r="Q6" i="18"/>
  <c r="J7" i="18"/>
  <c r="B13" i="16"/>
  <c r="T12" i="16"/>
  <c r="T12" i="12"/>
  <c r="B13" i="12"/>
  <c r="I15" i="4"/>
  <c r="C17" i="4"/>
  <c r="F16" i="4"/>
  <c r="G16" i="4" s="1"/>
  <c r="H16" i="4" s="1"/>
  <c r="P8" i="2"/>
  <c r="P8" i="3" s="1"/>
  <c r="Q8" i="3" s="1"/>
  <c r="O8" i="3"/>
  <c r="C14" i="2"/>
  <c r="F13" i="2"/>
  <c r="R8" i="3" l="1"/>
  <c r="S8" i="3" s="1"/>
  <c r="P8" i="6"/>
  <c r="P8" i="7"/>
  <c r="P8" i="5"/>
  <c r="R10" i="12"/>
  <c r="N11" i="7"/>
  <c r="I12" i="2"/>
  <c r="S8" i="4"/>
  <c r="J9" i="4" s="1"/>
  <c r="L9" i="4" s="1"/>
  <c r="M9" i="4" s="1"/>
  <c r="N9" i="4" s="1"/>
  <c r="U9" i="12"/>
  <c r="S9" i="16"/>
  <c r="U9" i="16" s="1"/>
  <c r="J9" i="2"/>
  <c r="L9" i="2" s="1"/>
  <c r="M9" i="2" s="1"/>
  <c r="N9" i="2" s="1"/>
  <c r="O9" i="2" s="1"/>
  <c r="M12" i="6"/>
  <c r="C14" i="7"/>
  <c r="X14" i="7" s="1"/>
  <c r="C14" i="5"/>
  <c r="U14" i="5" s="1"/>
  <c r="C14" i="3"/>
  <c r="T14" i="3" s="1"/>
  <c r="C14" i="6"/>
  <c r="N7" i="20"/>
  <c r="B11" i="20"/>
  <c r="M10" i="20"/>
  <c r="J10" i="16"/>
  <c r="G11" i="16" s="1"/>
  <c r="K10" i="16"/>
  <c r="L10" i="16"/>
  <c r="R10" i="10"/>
  <c r="H11" i="16"/>
  <c r="H11" i="10"/>
  <c r="H11" i="12"/>
  <c r="H11" i="9"/>
  <c r="J11" i="9" s="1"/>
  <c r="J10" i="12"/>
  <c r="G11" i="12" s="1"/>
  <c r="L10" i="12"/>
  <c r="K10" i="12"/>
  <c r="N11" i="5"/>
  <c r="M12" i="7"/>
  <c r="M11" i="12"/>
  <c r="M11" i="16"/>
  <c r="M11" i="10"/>
  <c r="M11" i="9"/>
  <c r="M12" i="5"/>
  <c r="K10" i="9"/>
  <c r="R10" i="16"/>
  <c r="Q9" i="16"/>
  <c r="R8" i="7"/>
  <c r="R8" i="6"/>
  <c r="R8" i="5"/>
  <c r="Q9" i="12"/>
  <c r="G13" i="2"/>
  <c r="H13" i="2" s="1"/>
  <c r="H13" i="5"/>
  <c r="H13" i="7"/>
  <c r="H13" i="6"/>
  <c r="H13" i="3"/>
  <c r="K10" i="10"/>
  <c r="J10" i="10"/>
  <c r="G11" i="10" s="1"/>
  <c r="L10" i="10"/>
  <c r="Q10" i="10" s="1"/>
  <c r="E6" i="19"/>
  <c r="F6" i="19" s="1"/>
  <c r="J6" i="19" s="1"/>
  <c r="F6" i="20"/>
  <c r="G6" i="20" s="1"/>
  <c r="U6" i="18"/>
  <c r="V6" i="18" s="1"/>
  <c r="S7" i="18" s="1"/>
  <c r="M12" i="3"/>
  <c r="F11" i="12"/>
  <c r="F11" i="16"/>
  <c r="F11" i="10"/>
  <c r="F11" i="9"/>
  <c r="I12" i="5"/>
  <c r="I12" i="7"/>
  <c r="I12" i="6"/>
  <c r="N12" i="6" s="1"/>
  <c r="I12" i="3"/>
  <c r="R6" i="18"/>
  <c r="N7" i="18" s="1"/>
  <c r="L10" i="9"/>
  <c r="S9" i="10"/>
  <c r="U9" i="10" s="1"/>
  <c r="Q9" i="10"/>
  <c r="E11" i="12"/>
  <c r="E11" i="16"/>
  <c r="E11" i="10"/>
  <c r="E11" i="9"/>
  <c r="P7" i="18"/>
  <c r="T13" i="16"/>
  <c r="B14" i="16"/>
  <c r="T13" i="12"/>
  <c r="B14" i="12"/>
  <c r="I16" i="4"/>
  <c r="F17" i="4"/>
  <c r="G17" i="4" s="1"/>
  <c r="H17" i="4" s="1"/>
  <c r="C18" i="4"/>
  <c r="U8" i="3"/>
  <c r="C15" i="2"/>
  <c r="F14" i="2"/>
  <c r="N12" i="3" l="1"/>
  <c r="O9" i="4"/>
  <c r="P9" i="4"/>
  <c r="Q8" i="5"/>
  <c r="S8" i="5" s="1"/>
  <c r="T8" i="5" s="1"/>
  <c r="V8" i="5" s="1"/>
  <c r="Q8" i="6"/>
  <c r="S8" i="6" s="1"/>
  <c r="Q8" i="7"/>
  <c r="G12" i="9"/>
  <c r="R11" i="16"/>
  <c r="Q10" i="9"/>
  <c r="K11" i="9"/>
  <c r="Q11" i="9" s="1"/>
  <c r="L11" i="9"/>
  <c r="R11" i="10"/>
  <c r="N12" i="7"/>
  <c r="N12" i="5"/>
  <c r="I13" i="5"/>
  <c r="I13" i="3"/>
  <c r="N13" i="3" s="1"/>
  <c r="I13" i="7"/>
  <c r="I13" i="6"/>
  <c r="N13" i="6" s="1"/>
  <c r="I13" i="2"/>
  <c r="K6" i="20"/>
  <c r="L6" i="20" s="1"/>
  <c r="O6" i="20" s="1"/>
  <c r="K6" i="19"/>
  <c r="E12" i="12"/>
  <c r="E12" i="16"/>
  <c r="E12" i="9"/>
  <c r="E12" i="10"/>
  <c r="L11" i="10"/>
  <c r="K11" i="10"/>
  <c r="J11" i="10"/>
  <c r="G12" i="10" s="1"/>
  <c r="K11" i="16"/>
  <c r="Q11" i="16" s="1"/>
  <c r="J11" i="16"/>
  <c r="G12" i="16" s="1"/>
  <c r="L11" i="16"/>
  <c r="Q9" i="4"/>
  <c r="R9" i="4" s="1"/>
  <c r="M13" i="5"/>
  <c r="R11" i="12"/>
  <c r="S10" i="16"/>
  <c r="U10" i="16" s="1"/>
  <c r="Q10" i="16"/>
  <c r="S10" i="10"/>
  <c r="U10" i="10" s="1"/>
  <c r="S10" i="12"/>
  <c r="U10" i="12" s="1"/>
  <c r="Q10" i="12"/>
  <c r="G14" i="2"/>
  <c r="H14" i="2" s="1"/>
  <c r="H14" i="5"/>
  <c r="H14" i="3"/>
  <c r="H14" i="6"/>
  <c r="H14" i="7"/>
  <c r="M12" i="10"/>
  <c r="M12" i="12"/>
  <c r="M12" i="16"/>
  <c r="M12" i="9"/>
  <c r="C15" i="7"/>
  <c r="X15" i="7" s="1"/>
  <c r="C15" i="6"/>
  <c r="C15" i="5"/>
  <c r="U15" i="5" s="1"/>
  <c r="C15" i="3"/>
  <c r="T15" i="3" s="1"/>
  <c r="F12" i="12"/>
  <c r="F12" i="16"/>
  <c r="F12" i="10"/>
  <c r="F12" i="9"/>
  <c r="M13" i="3"/>
  <c r="B12" i="20"/>
  <c r="M11" i="20"/>
  <c r="M13" i="6"/>
  <c r="J11" i="12"/>
  <c r="G12" i="12" s="1"/>
  <c r="L11" i="12"/>
  <c r="K11" i="12"/>
  <c r="D7" i="20"/>
  <c r="C7" i="19"/>
  <c r="I7" i="19" s="1"/>
  <c r="O7" i="18"/>
  <c r="K7" i="18" s="1"/>
  <c r="M13" i="7"/>
  <c r="H12" i="12"/>
  <c r="H12" i="16"/>
  <c r="H12" i="10"/>
  <c r="H12" i="9"/>
  <c r="T14" i="16"/>
  <c r="B15" i="16"/>
  <c r="B15" i="12"/>
  <c r="T14" i="12"/>
  <c r="F18" i="4"/>
  <c r="G18" i="4" s="1"/>
  <c r="H18" i="4" s="1"/>
  <c r="C19" i="4"/>
  <c r="I17" i="4"/>
  <c r="P9" i="2"/>
  <c r="P9" i="3" s="1"/>
  <c r="Q9" i="3" s="1"/>
  <c r="O9" i="3"/>
  <c r="C16" i="2"/>
  <c r="F15" i="2"/>
  <c r="P9" i="6" l="1"/>
  <c r="P9" i="7"/>
  <c r="P9" i="5"/>
  <c r="O9" i="6"/>
  <c r="O9" i="5"/>
  <c r="O9" i="7"/>
  <c r="J12" i="9"/>
  <c r="G13" i="9" s="1"/>
  <c r="N14" i="6"/>
  <c r="N13" i="7"/>
  <c r="N13" i="5"/>
  <c r="S11" i="12"/>
  <c r="U11" i="12" s="1"/>
  <c r="G15" i="2"/>
  <c r="H15" i="2" s="1"/>
  <c r="H15" i="3"/>
  <c r="H15" i="7"/>
  <c r="H15" i="6"/>
  <c r="H15" i="5"/>
  <c r="M14" i="3"/>
  <c r="K12" i="10"/>
  <c r="L12" i="10"/>
  <c r="J12" i="10"/>
  <c r="G13" i="10" s="1"/>
  <c r="B13" i="20"/>
  <c r="M12" i="20"/>
  <c r="M14" i="5"/>
  <c r="R9" i="6"/>
  <c r="R9" i="5"/>
  <c r="R9" i="7"/>
  <c r="S11" i="10"/>
  <c r="U11" i="10" s="1"/>
  <c r="S9" i="4"/>
  <c r="J10" i="4" s="1"/>
  <c r="L10" i="4" s="1"/>
  <c r="M10" i="4" s="1"/>
  <c r="N10" i="4" s="1"/>
  <c r="O10" i="4" s="1"/>
  <c r="M14" i="6"/>
  <c r="E13" i="12"/>
  <c r="E13" i="16"/>
  <c r="E13" i="10"/>
  <c r="E13" i="9"/>
  <c r="C16" i="6"/>
  <c r="C16" i="3"/>
  <c r="T16" i="3" s="1"/>
  <c r="C16" i="5"/>
  <c r="U16" i="5" s="1"/>
  <c r="C16" i="7"/>
  <c r="X16" i="7" s="1"/>
  <c r="L7" i="18"/>
  <c r="M7" i="18" s="1"/>
  <c r="I8" i="18" s="1"/>
  <c r="I14" i="2"/>
  <c r="I14" i="3"/>
  <c r="N14" i="3" s="1"/>
  <c r="I14" i="6"/>
  <c r="I14" i="7"/>
  <c r="I14" i="5"/>
  <c r="I7" i="20"/>
  <c r="J7" i="20" s="1"/>
  <c r="J12" i="12"/>
  <c r="G13" i="12" s="1"/>
  <c r="K12" i="12"/>
  <c r="L12" i="12"/>
  <c r="F13" i="12"/>
  <c r="F13" i="16"/>
  <c r="F13" i="10"/>
  <c r="F13" i="9"/>
  <c r="R12" i="10"/>
  <c r="L12" i="9"/>
  <c r="Q7" i="18"/>
  <c r="K12" i="9"/>
  <c r="M13" i="16"/>
  <c r="M13" i="10"/>
  <c r="M13" i="12"/>
  <c r="M13" i="9"/>
  <c r="L12" i="16"/>
  <c r="K12" i="16"/>
  <c r="J12" i="16"/>
  <c r="G13" i="16" s="1"/>
  <c r="R12" i="16"/>
  <c r="H13" i="12"/>
  <c r="H13" i="16"/>
  <c r="H13" i="10"/>
  <c r="H13" i="9"/>
  <c r="Q11" i="10"/>
  <c r="Q11" i="12"/>
  <c r="M14" i="7"/>
  <c r="S11" i="16"/>
  <c r="U11" i="16" s="1"/>
  <c r="R12" i="12"/>
  <c r="T15" i="16"/>
  <c r="B16" i="16"/>
  <c r="T15" i="12"/>
  <c r="B16" i="12"/>
  <c r="I18" i="4"/>
  <c r="C20" i="4"/>
  <c r="F19" i="4"/>
  <c r="G19" i="4" s="1"/>
  <c r="H19" i="4" s="1"/>
  <c r="J10" i="2"/>
  <c r="L10" i="2" s="1"/>
  <c r="M10" i="2" s="1"/>
  <c r="N10" i="2" s="1"/>
  <c r="O10" i="2" s="1"/>
  <c r="R9" i="3"/>
  <c r="S9" i="3" s="1"/>
  <c r="U9" i="3" s="1"/>
  <c r="C17" i="2"/>
  <c r="F16" i="2"/>
  <c r="R13" i="12" l="1"/>
  <c r="J13" i="9"/>
  <c r="G14" i="9" s="1"/>
  <c r="P10" i="4"/>
  <c r="O10" i="6"/>
  <c r="O10" i="5"/>
  <c r="O10" i="7"/>
  <c r="M15" i="6"/>
  <c r="N15" i="6"/>
  <c r="Q12" i="16"/>
  <c r="N14" i="7"/>
  <c r="R13" i="10"/>
  <c r="R13" i="16"/>
  <c r="Q12" i="9"/>
  <c r="I15" i="3"/>
  <c r="N15" i="3" s="1"/>
  <c r="I15" i="7"/>
  <c r="I15" i="5"/>
  <c r="I15" i="6"/>
  <c r="H14" i="12"/>
  <c r="H14" i="16"/>
  <c r="H14" i="10"/>
  <c r="H14" i="9"/>
  <c r="J14" i="9" s="1"/>
  <c r="G15" i="9" s="1"/>
  <c r="E7" i="20"/>
  <c r="D7" i="19"/>
  <c r="T7" i="18"/>
  <c r="M13" i="20"/>
  <c r="B14" i="20"/>
  <c r="C8" i="20"/>
  <c r="H8" i="20" s="1"/>
  <c r="J8" i="18"/>
  <c r="P8" i="18" s="1"/>
  <c r="C17" i="5"/>
  <c r="U17" i="5" s="1"/>
  <c r="C17" i="3"/>
  <c r="T17" i="3" s="1"/>
  <c r="C17" i="7"/>
  <c r="X17" i="7" s="1"/>
  <c r="C17" i="6"/>
  <c r="I15" i="2"/>
  <c r="E14" i="10"/>
  <c r="E14" i="12"/>
  <c r="E14" i="16"/>
  <c r="E14" i="9"/>
  <c r="M15" i="5"/>
  <c r="N15" i="5" s="1"/>
  <c r="L13" i="9"/>
  <c r="F7" i="20"/>
  <c r="E7" i="19"/>
  <c r="U7" i="18"/>
  <c r="R7" i="18"/>
  <c r="N8" i="18" s="1"/>
  <c r="G16" i="2"/>
  <c r="H16" i="2" s="1"/>
  <c r="H16" i="3"/>
  <c r="H16" i="7"/>
  <c r="H16" i="6"/>
  <c r="H16" i="5"/>
  <c r="K13" i="16"/>
  <c r="L13" i="16"/>
  <c r="J13" i="16"/>
  <c r="G14" i="16" s="1"/>
  <c r="M14" i="12"/>
  <c r="M14" i="16"/>
  <c r="M14" i="10"/>
  <c r="M14" i="9"/>
  <c r="L13" i="10"/>
  <c r="J13" i="10"/>
  <c r="G14" i="10" s="1"/>
  <c r="K13" i="10"/>
  <c r="K13" i="9"/>
  <c r="S12" i="12"/>
  <c r="U12" i="12" s="1"/>
  <c r="Q12" i="12"/>
  <c r="K13" i="12"/>
  <c r="J13" i="12"/>
  <c r="G14" i="12" s="1"/>
  <c r="L13" i="12"/>
  <c r="S12" i="16"/>
  <c r="U12" i="16" s="1"/>
  <c r="N14" i="5"/>
  <c r="M15" i="7"/>
  <c r="Q9" i="6"/>
  <c r="S9" i="6" s="1"/>
  <c r="Q9" i="5"/>
  <c r="S9" i="5" s="1"/>
  <c r="T9" i="5" s="1"/>
  <c r="V9" i="5" s="1"/>
  <c r="Q9" i="7"/>
  <c r="F14" i="10"/>
  <c r="F14" i="12"/>
  <c r="F14" i="16"/>
  <c r="F14" i="9"/>
  <c r="S12" i="10"/>
  <c r="U12" i="10" s="1"/>
  <c r="Q12" i="10"/>
  <c r="M15" i="3"/>
  <c r="B17" i="16"/>
  <c r="T16" i="16"/>
  <c r="B17" i="12"/>
  <c r="T16" i="12"/>
  <c r="I19" i="4"/>
  <c r="C21" i="4"/>
  <c r="F20" i="4"/>
  <c r="G20" i="4" s="1"/>
  <c r="H20" i="4" s="1"/>
  <c r="P10" i="2"/>
  <c r="P10" i="3" s="1"/>
  <c r="Q10" i="3" s="1"/>
  <c r="O10" i="3"/>
  <c r="C18" i="2"/>
  <c r="F17" i="2"/>
  <c r="Q13" i="9" l="1"/>
  <c r="Q10" i="4"/>
  <c r="R10" i="4" s="1"/>
  <c r="P10" i="6"/>
  <c r="P10" i="7"/>
  <c r="P10" i="5"/>
  <c r="G7" i="20"/>
  <c r="F7" i="19"/>
  <c r="J7" i="19" s="1"/>
  <c r="K7" i="19" s="1"/>
  <c r="V7" i="18"/>
  <c r="S8" i="18" s="1"/>
  <c r="R14" i="12"/>
  <c r="R14" i="16"/>
  <c r="J14" i="16"/>
  <c r="G15" i="16" s="1"/>
  <c r="L14" i="16"/>
  <c r="K14" i="16"/>
  <c r="N15" i="7"/>
  <c r="R14" i="10"/>
  <c r="S13" i="12"/>
  <c r="U13" i="12" s="1"/>
  <c r="Q13" i="12"/>
  <c r="M16" i="5"/>
  <c r="E15" i="16"/>
  <c r="E15" i="10"/>
  <c r="E15" i="12"/>
  <c r="E15" i="9"/>
  <c r="C8" i="19"/>
  <c r="I8" i="19" s="1"/>
  <c r="D8" i="20"/>
  <c r="O8" i="18"/>
  <c r="K8" i="18" s="1"/>
  <c r="L8" i="18" s="1"/>
  <c r="F15" i="10"/>
  <c r="F15" i="12"/>
  <c r="F15" i="16"/>
  <c r="F15" i="9"/>
  <c r="J14" i="12"/>
  <c r="G15" i="12" s="1"/>
  <c r="K14" i="12"/>
  <c r="L14" i="12"/>
  <c r="M16" i="6"/>
  <c r="M16" i="7"/>
  <c r="N8" i="20"/>
  <c r="K14" i="9"/>
  <c r="Q14" i="16"/>
  <c r="M16" i="3"/>
  <c r="N16" i="3" s="1"/>
  <c r="M14" i="20"/>
  <c r="B15" i="20"/>
  <c r="M15" i="20" s="1"/>
  <c r="L14" i="9"/>
  <c r="S13" i="10"/>
  <c r="U13" i="10" s="1"/>
  <c r="Q13" i="10"/>
  <c r="L14" i="10"/>
  <c r="K14" i="10"/>
  <c r="J14" i="10"/>
  <c r="G15" i="10" s="1"/>
  <c r="Q13" i="16"/>
  <c r="S13" i="16"/>
  <c r="U13" i="16" s="1"/>
  <c r="G17" i="2"/>
  <c r="H17" i="2" s="1"/>
  <c r="H17" i="3"/>
  <c r="H17" i="7"/>
  <c r="H17" i="6"/>
  <c r="H17" i="5"/>
  <c r="C18" i="5"/>
  <c r="U18" i="5" s="1"/>
  <c r="C18" i="3"/>
  <c r="T18" i="3" s="1"/>
  <c r="C18" i="7"/>
  <c r="X18" i="7" s="1"/>
  <c r="C18" i="6"/>
  <c r="I16" i="2"/>
  <c r="I16" i="3"/>
  <c r="I16" i="7"/>
  <c r="I16" i="6"/>
  <c r="N16" i="6" s="1"/>
  <c r="I16" i="5"/>
  <c r="R10" i="5"/>
  <c r="R10" i="7"/>
  <c r="R10" i="6"/>
  <c r="S10" i="4"/>
  <c r="J11" i="4" s="1"/>
  <c r="L11" i="4" s="1"/>
  <c r="M11" i="4" s="1"/>
  <c r="N11" i="4" s="1"/>
  <c r="O11" i="4" s="1"/>
  <c r="M15" i="12"/>
  <c r="M15" i="16"/>
  <c r="M15" i="10"/>
  <c r="M15" i="9"/>
  <c r="H15" i="10"/>
  <c r="H15" i="12"/>
  <c r="H15" i="16"/>
  <c r="H15" i="9"/>
  <c r="J15" i="9" s="1"/>
  <c r="G16" i="9" s="1"/>
  <c r="B18" i="16"/>
  <c r="T17" i="16"/>
  <c r="B18" i="12"/>
  <c r="T17" i="12"/>
  <c r="I20" i="4"/>
  <c r="F21" i="4"/>
  <c r="G21" i="4" s="1"/>
  <c r="H21" i="4" s="1"/>
  <c r="C22" i="4"/>
  <c r="F22" i="4" s="1"/>
  <c r="G22" i="4" s="1"/>
  <c r="H22" i="4" s="1"/>
  <c r="J11" i="2"/>
  <c r="L11" i="2" s="1"/>
  <c r="M11" i="2" s="1"/>
  <c r="N11" i="2" s="1"/>
  <c r="R10" i="3"/>
  <c r="S10" i="3" s="1"/>
  <c r="U10" i="3" s="1"/>
  <c r="C19" i="2"/>
  <c r="F18" i="2"/>
  <c r="P11" i="4" l="1"/>
  <c r="O11" i="6"/>
  <c r="O11" i="7"/>
  <c r="O11" i="5"/>
  <c r="K7" i="20"/>
  <c r="L7" i="20" s="1"/>
  <c r="O7" i="20" s="1"/>
  <c r="R15" i="16"/>
  <c r="Q8" i="18"/>
  <c r="R8" i="18" s="1"/>
  <c r="N9" i="18" s="1"/>
  <c r="Q14" i="12"/>
  <c r="Q14" i="9"/>
  <c r="S14" i="16"/>
  <c r="U14" i="16" s="1"/>
  <c r="L15" i="9"/>
  <c r="S14" i="10"/>
  <c r="Q14" i="10"/>
  <c r="J15" i="10"/>
  <c r="G16" i="10" s="1"/>
  <c r="L15" i="10"/>
  <c r="K15" i="10"/>
  <c r="S15" i="10" s="1"/>
  <c r="M17" i="5"/>
  <c r="Q10" i="5"/>
  <c r="S10" i="5" s="1"/>
  <c r="T10" i="5" s="1"/>
  <c r="V10" i="5" s="1"/>
  <c r="Q10" i="7"/>
  <c r="Q10" i="6"/>
  <c r="S10" i="6" s="1"/>
  <c r="M8" i="18"/>
  <c r="I9" i="18" s="1"/>
  <c r="T8" i="18"/>
  <c r="D8" i="19"/>
  <c r="E8" i="20"/>
  <c r="G18" i="2"/>
  <c r="H18" i="2" s="1"/>
  <c r="H18" i="6"/>
  <c r="H18" i="7"/>
  <c r="H18" i="3"/>
  <c r="H18" i="5"/>
  <c r="M17" i="3"/>
  <c r="S14" i="12"/>
  <c r="U14" i="12" s="1"/>
  <c r="E16" i="16"/>
  <c r="E16" i="12"/>
  <c r="E16" i="9"/>
  <c r="E16" i="10"/>
  <c r="K15" i="9"/>
  <c r="Q11" i="4"/>
  <c r="R11" i="4" s="1"/>
  <c r="J15" i="12"/>
  <c r="G16" i="12" s="1"/>
  <c r="K15" i="12"/>
  <c r="Q15" i="12" s="1"/>
  <c r="L15" i="12"/>
  <c r="N16" i="5"/>
  <c r="M16" i="10"/>
  <c r="M16" i="12"/>
  <c r="M16" i="16"/>
  <c r="M16" i="9"/>
  <c r="M17" i="6"/>
  <c r="R15" i="10"/>
  <c r="U14" i="10"/>
  <c r="C19" i="7"/>
  <c r="X19" i="7" s="1"/>
  <c r="C19" i="5"/>
  <c r="U19" i="5" s="1"/>
  <c r="C19" i="6"/>
  <c r="C19" i="3"/>
  <c r="T19" i="3" s="1"/>
  <c r="N16" i="7"/>
  <c r="I8" i="20"/>
  <c r="J8" i="20" s="1"/>
  <c r="J15" i="16"/>
  <c r="G16" i="16" s="1"/>
  <c r="L15" i="16"/>
  <c r="K15" i="16"/>
  <c r="R15" i="12"/>
  <c r="F16" i="16"/>
  <c r="F16" i="10"/>
  <c r="F16" i="12"/>
  <c r="F16" i="9"/>
  <c r="H16" i="10"/>
  <c r="H16" i="12"/>
  <c r="H16" i="16"/>
  <c r="H16" i="9"/>
  <c r="J16" i="9" s="1"/>
  <c r="G17" i="9" s="1"/>
  <c r="M17" i="7"/>
  <c r="I17" i="2"/>
  <c r="I17" i="7"/>
  <c r="I17" i="6"/>
  <c r="N17" i="6" s="1"/>
  <c r="I17" i="5"/>
  <c r="I17" i="3"/>
  <c r="B19" i="16"/>
  <c r="T18" i="16"/>
  <c r="B19" i="12"/>
  <c r="T18" i="12"/>
  <c r="I21" i="4"/>
  <c r="I22" i="4"/>
  <c r="O11" i="2"/>
  <c r="C20" i="2"/>
  <c r="F19" i="2"/>
  <c r="F8" i="20" l="1"/>
  <c r="E8" i="19"/>
  <c r="N17" i="3"/>
  <c r="U8" i="18"/>
  <c r="M18" i="6"/>
  <c r="N18" i="6"/>
  <c r="P11" i="6"/>
  <c r="P11" i="7"/>
  <c r="P11" i="5"/>
  <c r="Q15" i="9"/>
  <c r="F8" i="19"/>
  <c r="J8" i="19" s="1"/>
  <c r="K8" i="20" s="1"/>
  <c r="L8" i="20" s="1"/>
  <c r="O8" i="20" s="1"/>
  <c r="V8" i="18"/>
  <c r="S9" i="18" s="1"/>
  <c r="U15" i="10"/>
  <c r="L16" i="9"/>
  <c r="R16" i="12"/>
  <c r="J16" i="16"/>
  <c r="G17" i="16" s="1"/>
  <c r="L16" i="16"/>
  <c r="K16" i="16"/>
  <c r="R11" i="7"/>
  <c r="R11" i="6"/>
  <c r="R11" i="5"/>
  <c r="R16" i="10"/>
  <c r="N17" i="7"/>
  <c r="S11" i="4"/>
  <c r="J12" i="4" s="1"/>
  <c r="L12" i="4" s="1"/>
  <c r="M12" i="4" s="1"/>
  <c r="N12" i="4" s="1"/>
  <c r="O12" i="4" s="1"/>
  <c r="M18" i="5"/>
  <c r="C9" i="20"/>
  <c r="H9" i="20" s="1"/>
  <c r="J9" i="18"/>
  <c r="P9" i="18" s="1"/>
  <c r="J16" i="10"/>
  <c r="G17" i="10" s="1"/>
  <c r="K16" i="10"/>
  <c r="L16" i="10"/>
  <c r="Q16" i="10" s="1"/>
  <c r="R16" i="16"/>
  <c r="K16" i="9"/>
  <c r="Q16" i="9" s="1"/>
  <c r="C20" i="5"/>
  <c r="U20" i="5" s="1"/>
  <c r="C20" i="3"/>
  <c r="T20" i="3" s="1"/>
  <c r="C20" i="6"/>
  <c r="C20" i="7"/>
  <c r="X20" i="7" s="1"/>
  <c r="F17" i="16"/>
  <c r="F17" i="10"/>
  <c r="F17" i="12"/>
  <c r="F17" i="9"/>
  <c r="Q15" i="10"/>
  <c r="E17" i="12"/>
  <c r="E17" i="16"/>
  <c r="E17" i="10"/>
  <c r="E17" i="9"/>
  <c r="S15" i="12"/>
  <c r="U15" i="12" s="1"/>
  <c r="I18" i="2"/>
  <c r="I18" i="5"/>
  <c r="I18" i="3"/>
  <c r="I18" i="7"/>
  <c r="I18" i="6"/>
  <c r="M17" i="10"/>
  <c r="M17" i="12"/>
  <c r="M17" i="16"/>
  <c r="M17" i="9"/>
  <c r="M18" i="3"/>
  <c r="G19" i="2"/>
  <c r="H19" i="2" s="1"/>
  <c r="H19" i="3"/>
  <c r="H19" i="7"/>
  <c r="H19" i="5"/>
  <c r="H19" i="6"/>
  <c r="M18" i="7"/>
  <c r="N18" i="7" s="1"/>
  <c r="S15" i="16"/>
  <c r="U15" i="16" s="1"/>
  <c r="Q15" i="16"/>
  <c r="K16" i="12"/>
  <c r="L16" i="12"/>
  <c r="J16" i="12"/>
  <c r="G17" i="12" s="1"/>
  <c r="D9" i="20"/>
  <c r="C9" i="19"/>
  <c r="I9" i="19" s="1"/>
  <c r="O9" i="18"/>
  <c r="K9" i="18" s="1"/>
  <c r="G8" i="20"/>
  <c r="N17" i="5"/>
  <c r="H17" i="16"/>
  <c r="H17" i="12"/>
  <c r="H17" i="10"/>
  <c r="H17" i="9"/>
  <c r="L17" i="9" s="1"/>
  <c r="B20" i="16"/>
  <c r="T19" i="16"/>
  <c r="B20" i="12"/>
  <c r="T19" i="12"/>
  <c r="P11" i="2"/>
  <c r="P11" i="3" s="1"/>
  <c r="Q11" i="3" s="1"/>
  <c r="O11" i="3"/>
  <c r="C21" i="2"/>
  <c r="F20" i="2"/>
  <c r="P12" i="4" l="1"/>
  <c r="O12" i="6"/>
  <c r="O12" i="5"/>
  <c r="O12" i="7"/>
  <c r="N18" i="3"/>
  <c r="K8" i="19"/>
  <c r="L9" i="18"/>
  <c r="M9" i="18" s="1"/>
  <c r="I10" i="18" s="1"/>
  <c r="Q16" i="12"/>
  <c r="K17" i="9"/>
  <c r="Q17" i="9" s="1"/>
  <c r="J17" i="9"/>
  <c r="G18" i="9" s="1"/>
  <c r="J18" i="9" s="1"/>
  <c r="G19" i="9" s="1"/>
  <c r="R17" i="10"/>
  <c r="I19" i="3"/>
  <c r="I19" i="7"/>
  <c r="I19" i="5"/>
  <c r="I19" i="6"/>
  <c r="I19" i="2"/>
  <c r="E9" i="20"/>
  <c r="T9" i="18"/>
  <c r="D9" i="19"/>
  <c r="L17" i="16"/>
  <c r="K17" i="16"/>
  <c r="J17" i="16"/>
  <c r="G18" i="16" s="1"/>
  <c r="C21" i="5"/>
  <c r="U21" i="5" s="1"/>
  <c r="C21" i="3"/>
  <c r="T21" i="3" s="1"/>
  <c r="C21" i="7"/>
  <c r="X21" i="7" s="1"/>
  <c r="C21" i="6"/>
  <c r="H18" i="16"/>
  <c r="H18" i="12"/>
  <c r="H18" i="10"/>
  <c r="H18" i="9"/>
  <c r="J17" i="12"/>
  <c r="G18" i="12" s="1"/>
  <c r="K17" i="12"/>
  <c r="L17" i="12"/>
  <c r="N9" i="20"/>
  <c r="F18" i="12"/>
  <c r="F18" i="10"/>
  <c r="F18" i="16"/>
  <c r="F18" i="9"/>
  <c r="N18" i="5"/>
  <c r="J12" i="2"/>
  <c r="L12" i="2" s="1"/>
  <c r="M12" i="2" s="1"/>
  <c r="N12" i="2" s="1"/>
  <c r="O12" i="2" s="1"/>
  <c r="M19" i="6"/>
  <c r="N19" i="6" s="1"/>
  <c r="R17" i="12"/>
  <c r="G20" i="2"/>
  <c r="H20" i="2" s="1"/>
  <c r="H20" i="6"/>
  <c r="H20" i="3"/>
  <c r="H20" i="7"/>
  <c r="H20" i="5"/>
  <c r="R17" i="16"/>
  <c r="Q9" i="18"/>
  <c r="M19" i="5"/>
  <c r="E18" i="12"/>
  <c r="R18" i="12" s="1"/>
  <c r="E18" i="10"/>
  <c r="R18" i="10" s="1"/>
  <c r="E18" i="16"/>
  <c r="E18" i="9"/>
  <c r="M19" i="7"/>
  <c r="S16" i="10"/>
  <c r="U16" i="10" s="1"/>
  <c r="Q11" i="7"/>
  <c r="Q11" i="6"/>
  <c r="S11" i="6" s="1"/>
  <c r="Q11" i="5"/>
  <c r="S11" i="5" s="1"/>
  <c r="T11" i="5" s="1"/>
  <c r="V11" i="5" s="1"/>
  <c r="Q16" i="16"/>
  <c r="S16" i="16"/>
  <c r="U16" i="16" s="1"/>
  <c r="S16" i="12"/>
  <c r="U16" i="12" s="1"/>
  <c r="Q12" i="4"/>
  <c r="R12" i="4" s="1"/>
  <c r="I9" i="20"/>
  <c r="J9" i="20" s="1"/>
  <c r="M19" i="3"/>
  <c r="N19" i="3"/>
  <c r="M18" i="9"/>
  <c r="M18" i="12"/>
  <c r="M18" i="16"/>
  <c r="M18" i="10"/>
  <c r="L17" i="10"/>
  <c r="J17" i="10"/>
  <c r="G18" i="10" s="1"/>
  <c r="K17" i="10"/>
  <c r="T20" i="16"/>
  <c r="B21" i="16"/>
  <c r="T20" i="12"/>
  <c r="B21" i="12"/>
  <c r="R11" i="3"/>
  <c r="S11" i="3" s="1"/>
  <c r="U11" i="3" s="1"/>
  <c r="P12" i="2"/>
  <c r="P12" i="3" s="1"/>
  <c r="Q12" i="3" s="1"/>
  <c r="O12" i="3"/>
  <c r="C22" i="2"/>
  <c r="F21" i="2"/>
  <c r="P12" i="6" l="1"/>
  <c r="P12" i="5"/>
  <c r="P12" i="7"/>
  <c r="N19" i="7"/>
  <c r="Q17" i="16"/>
  <c r="N19" i="5"/>
  <c r="S17" i="10"/>
  <c r="U17" i="10" s="1"/>
  <c r="K18" i="9"/>
  <c r="L18" i="9"/>
  <c r="Q18" i="9" s="1"/>
  <c r="R18" i="16"/>
  <c r="I20" i="2"/>
  <c r="I20" i="7"/>
  <c r="I20" i="5"/>
  <c r="I20" i="6"/>
  <c r="N20" i="6" s="1"/>
  <c r="I20" i="3"/>
  <c r="M20" i="6"/>
  <c r="J18" i="10"/>
  <c r="G19" i="10" s="1"/>
  <c r="L18" i="10"/>
  <c r="K18" i="10"/>
  <c r="S18" i="10" s="1"/>
  <c r="U18" i="10" s="1"/>
  <c r="Q17" i="10"/>
  <c r="S17" i="12"/>
  <c r="U17" i="12" s="1"/>
  <c r="E19" i="12"/>
  <c r="E19" i="10"/>
  <c r="E19" i="16"/>
  <c r="E19" i="9"/>
  <c r="J18" i="16"/>
  <c r="G19" i="16" s="1"/>
  <c r="L18" i="16"/>
  <c r="K18" i="16"/>
  <c r="J10" i="18"/>
  <c r="P10" i="18" s="1"/>
  <c r="C10" i="20"/>
  <c r="H10" i="20" s="1"/>
  <c r="K18" i="12"/>
  <c r="L18" i="12"/>
  <c r="J18" i="12"/>
  <c r="G19" i="12" s="1"/>
  <c r="F19" i="12"/>
  <c r="F19" i="10"/>
  <c r="F19" i="16"/>
  <c r="F19" i="9"/>
  <c r="G21" i="2"/>
  <c r="H21" i="2" s="1"/>
  <c r="H21" i="7"/>
  <c r="H21" i="6"/>
  <c r="H21" i="5"/>
  <c r="H21" i="3"/>
  <c r="M20" i="5"/>
  <c r="N20" i="5" s="1"/>
  <c r="S17" i="16"/>
  <c r="U17" i="16" s="1"/>
  <c r="F22" i="2"/>
  <c r="C22" i="7"/>
  <c r="X22" i="7" s="1"/>
  <c r="C22" i="5"/>
  <c r="U22" i="5" s="1"/>
  <c r="C22" i="6"/>
  <c r="C22" i="3"/>
  <c r="T22" i="3" s="1"/>
  <c r="M20" i="7"/>
  <c r="R12" i="6"/>
  <c r="R12" i="7"/>
  <c r="R12" i="5"/>
  <c r="M19" i="16"/>
  <c r="M19" i="12"/>
  <c r="M19" i="10"/>
  <c r="M19" i="9"/>
  <c r="S12" i="4"/>
  <c r="J13" i="4" s="1"/>
  <c r="L13" i="4" s="1"/>
  <c r="M13" i="4" s="1"/>
  <c r="N13" i="4" s="1"/>
  <c r="O13" i="4" s="1"/>
  <c r="R9" i="18"/>
  <c r="N10" i="18" s="1"/>
  <c r="F9" i="20"/>
  <c r="G9" i="20" s="1"/>
  <c r="E9" i="19"/>
  <c r="F9" i="19" s="1"/>
  <c r="J9" i="19" s="1"/>
  <c r="U9" i="18"/>
  <c r="V9" i="18" s="1"/>
  <c r="S10" i="18" s="1"/>
  <c r="M20" i="3"/>
  <c r="H19" i="12"/>
  <c r="H19" i="10"/>
  <c r="H19" i="16"/>
  <c r="H19" i="9"/>
  <c r="L19" i="9" s="1"/>
  <c r="Q17" i="12"/>
  <c r="T21" i="16"/>
  <c r="B22" i="16"/>
  <c r="T21" i="12"/>
  <c r="B22" i="12"/>
  <c r="R12" i="3"/>
  <c r="S12" i="3" s="1"/>
  <c r="U12" i="3" s="1"/>
  <c r="J13" i="2"/>
  <c r="L13" i="2" s="1"/>
  <c r="M13" i="2" s="1"/>
  <c r="N13" i="2" s="1"/>
  <c r="O13" i="2" s="1"/>
  <c r="M21" i="6" l="1"/>
  <c r="P13" i="4"/>
  <c r="O13" i="7"/>
  <c r="O13" i="6"/>
  <c r="O13" i="5"/>
  <c r="N20" i="7"/>
  <c r="N20" i="3"/>
  <c r="Q18" i="10"/>
  <c r="I21" i="6"/>
  <c r="N21" i="6" s="1"/>
  <c r="I21" i="5"/>
  <c r="I21" i="7"/>
  <c r="I21" i="3"/>
  <c r="R19" i="16"/>
  <c r="E20" i="12"/>
  <c r="E20" i="10"/>
  <c r="E20" i="16"/>
  <c r="E20" i="9"/>
  <c r="Q13" i="4"/>
  <c r="R13" i="4" s="1"/>
  <c r="K19" i="9"/>
  <c r="Q19" i="9" s="1"/>
  <c r="L19" i="12"/>
  <c r="J19" i="12"/>
  <c r="G20" i="12" s="1"/>
  <c r="K19" i="12"/>
  <c r="S18" i="16"/>
  <c r="U18" i="16" s="1"/>
  <c r="Q18" i="16"/>
  <c r="R19" i="10"/>
  <c r="M20" i="10"/>
  <c r="M20" i="16"/>
  <c r="M20" i="12"/>
  <c r="M20" i="9"/>
  <c r="M21" i="3"/>
  <c r="R19" i="12"/>
  <c r="F20" i="12"/>
  <c r="F20" i="10"/>
  <c r="F20" i="16"/>
  <c r="F20" i="9"/>
  <c r="D10" i="20"/>
  <c r="C10" i="19"/>
  <c r="I10" i="19" s="1"/>
  <c r="O10" i="18"/>
  <c r="K10" i="18" s="1"/>
  <c r="Q10" i="18"/>
  <c r="R10" i="18" s="1"/>
  <c r="N11" i="18" s="1"/>
  <c r="J19" i="9"/>
  <c r="G20" i="9" s="1"/>
  <c r="M21" i="7"/>
  <c r="K9" i="20"/>
  <c r="L9" i="20" s="1"/>
  <c r="O9" i="20" s="1"/>
  <c r="K9" i="19"/>
  <c r="N10" i="20"/>
  <c r="L19" i="10"/>
  <c r="K19" i="10"/>
  <c r="J19" i="10"/>
  <c r="G20" i="10" s="1"/>
  <c r="M21" i="5"/>
  <c r="I21" i="2"/>
  <c r="H20" i="12"/>
  <c r="H20" i="10"/>
  <c r="H20" i="16"/>
  <c r="H20" i="9"/>
  <c r="Q12" i="6"/>
  <c r="S12" i="6" s="1"/>
  <c r="Q12" i="5"/>
  <c r="S12" i="5" s="1"/>
  <c r="T12" i="5" s="1"/>
  <c r="V12" i="5" s="1"/>
  <c r="Q12" i="7"/>
  <c r="G22" i="2"/>
  <c r="H22" i="2" s="1"/>
  <c r="H22" i="6"/>
  <c r="H22" i="3"/>
  <c r="H22" i="7"/>
  <c r="H22" i="5"/>
  <c r="S18" i="12"/>
  <c r="U18" i="12" s="1"/>
  <c r="Q18" i="12"/>
  <c r="K19" i="16"/>
  <c r="L19" i="16"/>
  <c r="J19" i="16"/>
  <c r="G20" i="16" s="1"/>
  <c r="B23" i="16"/>
  <c r="T22" i="16"/>
  <c r="B23" i="12"/>
  <c r="T22" i="12"/>
  <c r="P13" i="2"/>
  <c r="O13" i="3"/>
  <c r="P13" i="5" l="1"/>
  <c r="P13" i="6"/>
  <c r="P13" i="7"/>
  <c r="N21" i="5"/>
  <c r="N21" i="3"/>
  <c r="S19" i="16"/>
  <c r="R20" i="10"/>
  <c r="M22" i="7"/>
  <c r="L10" i="18"/>
  <c r="M10" i="18" s="1"/>
  <c r="I11" i="18" s="1"/>
  <c r="F21" i="12"/>
  <c r="F21" i="10"/>
  <c r="F21" i="16"/>
  <c r="F21" i="9"/>
  <c r="L20" i="12"/>
  <c r="K20" i="12"/>
  <c r="S20" i="12" s="1"/>
  <c r="J20" i="12"/>
  <c r="G21" i="12" s="1"/>
  <c r="R20" i="16"/>
  <c r="D11" i="20"/>
  <c r="C11" i="19"/>
  <c r="I11" i="19" s="1"/>
  <c r="O11" i="18"/>
  <c r="K11" i="18" s="1"/>
  <c r="M22" i="5"/>
  <c r="E10" i="19"/>
  <c r="U10" i="18"/>
  <c r="F10" i="20"/>
  <c r="S19" i="12"/>
  <c r="U19" i="12" s="1"/>
  <c r="Q19" i="12"/>
  <c r="L20" i="10"/>
  <c r="J20" i="10"/>
  <c r="G21" i="10" s="1"/>
  <c r="K20" i="10"/>
  <c r="I10" i="20"/>
  <c r="L20" i="16"/>
  <c r="K20" i="16"/>
  <c r="J20" i="16"/>
  <c r="G21" i="16" s="1"/>
  <c r="R20" i="12"/>
  <c r="M22" i="3"/>
  <c r="M22" i="6"/>
  <c r="S19" i="10"/>
  <c r="U19" i="10" s="1"/>
  <c r="Q19" i="10"/>
  <c r="Q19" i="16"/>
  <c r="E21" i="12"/>
  <c r="E21" i="16"/>
  <c r="E21" i="9"/>
  <c r="E21" i="10"/>
  <c r="R13" i="7"/>
  <c r="R13" i="6"/>
  <c r="R13" i="5"/>
  <c r="J20" i="9"/>
  <c r="G21" i="9" s="1"/>
  <c r="L20" i="9"/>
  <c r="K20" i="9"/>
  <c r="Q20" i="9" s="1"/>
  <c r="U19" i="16"/>
  <c r="H21" i="12"/>
  <c r="H21" i="10"/>
  <c r="H21" i="16"/>
  <c r="H21" i="9"/>
  <c r="N21" i="7"/>
  <c r="M21" i="12"/>
  <c r="M21" i="10"/>
  <c r="M21" i="16"/>
  <c r="M21" i="9"/>
  <c r="S13" i="4"/>
  <c r="J14" i="4" s="1"/>
  <c r="L14" i="4" s="1"/>
  <c r="M14" i="4" s="1"/>
  <c r="N14" i="4" s="1"/>
  <c r="O14" i="4" s="1"/>
  <c r="T23" i="16"/>
  <c r="B24" i="16"/>
  <c r="B25" i="16" s="1"/>
  <c r="T23" i="12"/>
  <c r="B24" i="12"/>
  <c r="P13" i="3"/>
  <c r="Q13" i="3" s="1"/>
  <c r="R13" i="3" s="1"/>
  <c r="S13" i="3" s="1"/>
  <c r="U13" i="3" s="1"/>
  <c r="J14" i="2"/>
  <c r="L14" i="2" s="1"/>
  <c r="M14" i="2" s="1"/>
  <c r="N14" i="2" s="1"/>
  <c r="O14" i="2" s="1"/>
  <c r="P14" i="4" l="1"/>
  <c r="O14" i="7"/>
  <c r="O14" i="6"/>
  <c r="O14" i="5"/>
  <c r="S20" i="10"/>
  <c r="U20" i="12"/>
  <c r="U20" i="10"/>
  <c r="R21" i="16"/>
  <c r="C11" i="20"/>
  <c r="H11" i="20" s="1"/>
  <c r="J11" i="18"/>
  <c r="P11" i="18" s="1"/>
  <c r="L21" i="16"/>
  <c r="K21" i="16"/>
  <c r="J21" i="16"/>
  <c r="G22" i="16" s="1"/>
  <c r="F22" i="12"/>
  <c r="F22" i="10"/>
  <c r="F22" i="16"/>
  <c r="F22" i="9"/>
  <c r="M22" i="12"/>
  <c r="M22" i="10"/>
  <c r="M22" i="16"/>
  <c r="M22" i="9"/>
  <c r="S20" i="16"/>
  <c r="U20" i="16" s="1"/>
  <c r="J21" i="12"/>
  <c r="G22" i="12" s="1"/>
  <c r="K21" i="12"/>
  <c r="L21" i="12"/>
  <c r="H22" i="12"/>
  <c r="H22" i="16"/>
  <c r="H22" i="9"/>
  <c r="H22" i="10"/>
  <c r="E10" i="20"/>
  <c r="G10" i="20" s="1"/>
  <c r="T10" i="18"/>
  <c r="V10" i="18" s="1"/>
  <c r="S11" i="18" s="1"/>
  <c r="D10" i="19"/>
  <c r="F10" i="19" s="1"/>
  <c r="J10" i="19" s="1"/>
  <c r="Q20" i="10"/>
  <c r="Q20" i="12"/>
  <c r="I22" i="3"/>
  <c r="N22" i="3" s="1"/>
  <c r="I22" i="7"/>
  <c r="I22" i="5"/>
  <c r="I22" i="6"/>
  <c r="N22" i="6" s="1"/>
  <c r="R21" i="10"/>
  <c r="B26" i="16"/>
  <c r="T25" i="16"/>
  <c r="R21" i="12"/>
  <c r="J21" i="9"/>
  <c r="G22" i="9" s="1"/>
  <c r="K21" i="9"/>
  <c r="L21" i="9"/>
  <c r="E22" i="16"/>
  <c r="E22" i="12"/>
  <c r="R22" i="12" s="1"/>
  <c r="E22" i="10"/>
  <c r="E22" i="9"/>
  <c r="Q13" i="7"/>
  <c r="Q13" i="6"/>
  <c r="S13" i="6" s="1"/>
  <c r="Q13" i="5"/>
  <c r="S13" i="5" s="1"/>
  <c r="T13" i="5" s="1"/>
  <c r="V13" i="5" s="1"/>
  <c r="Q20" i="16"/>
  <c r="Q14" i="4"/>
  <c r="R14" i="4" s="1"/>
  <c r="S14" i="4" s="1"/>
  <c r="J15" i="4" s="1"/>
  <c r="L15" i="4" s="1"/>
  <c r="M15" i="4" s="1"/>
  <c r="N15" i="4" s="1"/>
  <c r="J21" i="10"/>
  <c r="G22" i="10" s="1"/>
  <c r="K21" i="10"/>
  <c r="L21" i="10"/>
  <c r="I22" i="2"/>
  <c r="J10" i="20"/>
  <c r="I11" i="20"/>
  <c r="T24" i="16"/>
  <c r="B25" i="12"/>
  <c r="T24" i="12"/>
  <c r="P14" i="2"/>
  <c r="O14" i="3"/>
  <c r="L11" i="18" l="1"/>
  <c r="S21" i="12"/>
  <c r="P14" i="5"/>
  <c r="P14" i="6"/>
  <c r="P14" i="7"/>
  <c r="M11" i="18"/>
  <c r="I12" i="18" s="1"/>
  <c r="Q21" i="9"/>
  <c r="Q14" i="7"/>
  <c r="Q14" i="6"/>
  <c r="Q14" i="5"/>
  <c r="Q11" i="18"/>
  <c r="R11" i="18" s="1"/>
  <c r="N12" i="18" s="1"/>
  <c r="Q22" i="12"/>
  <c r="R22" i="10"/>
  <c r="U21" i="12"/>
  <c r="N22" i="7"/>
  <c r="J11" i="20"/>
  <c r="N11" i="20"/>
  <c r="E11" i="20"/>
  <c r="D11" i="19"/>
  <c r="T11" i="18"/>
  <c r="S21" i="10"/>
  <c r="U21" i="10" s="1"/>
  <c r="Q21" i="10"/>
  <c r="K22" i="12"/>
  <c r="J22" i="12"/>
  <c r="G23" i="12" s="1"/>
  <c r="L22" i="12"/>
  <c r="R14" i="5"/>
  <c r="R14" i="7"/>
  <c r="R14" i="6"/>
  <c r="R22" i="16"/>
  <c r="K22" i="16"/>
  <c r="J22" i="16"/>
  <c r="G23" i="16" s="1"/>
  <c r="L22" i="16"/>
  <c r="C12" i="20"/>
  <c r="H12" i="20" s="1"/>
  <c r="J12" i="18"/>
  <c r="L22" i="10"/>
  <c r="J22" i="10"/>
  <c r="G23" i="10" s="1"/>
  <c r="K22" i="10"/>
  <c r="E23" i="16"/>
  <c r="E23" i="10"/>
  <c r="E23" i="12"/>
  <c r="E23" i="9"/>
  <c r="H23" i="12"/>
  <c r="H23" i="16"/>
  <c r="H23" i="10"/>
  <c r="H23" i="9"/>
  <c r="S21" i="16"/>
  <c r="U21" i="16" s="1"/>
  <c r="Q21" i="16"/>
  <c r="J22" i="9"/>
  <c r="G23" i="9" s="1"/>
  <c r="L22" i="9"/>
  <c r="K22" i="9"/>
  <c r="N22" i="5"/>
  <c r="F23" i="16"/>
  <c r="F23" i="10"/>
  <c r="F23" i="12"/>
  <c r="F23" i="9"/>
  <c r="T26" i="16"/>
  <c r="B27" i="16"/>
  <c r="K10" i="20"/>
  <c r="L10" i="20" s="1"/>
  <c r="O10" i="20" s="1"/>
  <c r="K10" i="19"/>
  <c r="M23" i="12"/>
  <c r="M23" i="16"/>
  <c r="M23" i="10"/>
  <c r="M23" i="9"/>
  <c r="Q21" i="12"/>
  <c r="B26" i="12"/>
  <c r="T26" i="12" s="1"/>
  <c r="T25" i="12"/>
  <c r="O15" i="4"/>
  <c r="P14" i="3"/>
  <c r="Q14" i="3" s="1"/>
  <c r="R14" i="3" s="1"/>
  <c r="S14" i="3" s="1"/>
  <c r="U14" i="3" s="1"/>
  <c r="J15" i="2"/>
  <c r="L15" i="2" s="1"/>
  <c r="M15" i="2" s="1"/>
  <c r="N15" i="2" s="1"/>
  <c r="P15" i="4" l="1"/>
  <c r="O15" i="7"/>
  <c r="O15" i="6"/>
  <c r="O15" i="5"/>
  <c r="S14" i="5"/>
  <c r="T14" i="5" s="1"/>
  <c r="V14" i="5" s="1"/>
  <c r="S22" i="16"/>
  <c r="Q22" i="9"/>
  <c r="S22" i="12"/>
  <c r="U22" i="12" s="1"/>
  <c r="S22" i="10"/>
  <c r="U22" i="10" s="1"/>
  <c r="U22" i="16"/>
  <c r="K23" i="12"/>
  <c r="J23" i="12"/>
  <c r="G24" i="12" s="1"/>
  <c r="L23" i="12"/>
  <c r="M24" i="12"/>
  <c r="M24" i="16"/>
  <c r="M24" i="10"/>
  <c r="M24" i="9"/>
  <c r="C12" i="19"/>
  <c r="I12" i="19" s="1"/>
  <c r="D12" i="20"/>
  <c r="O12" i="18"/>
  <c r="K12" i="18" s="1"/>
  <c r="T27" i="16"/>
  <c r="B28" i="16"/>
  <c r="F24" i="16"/>
  <c r="F24" i="10"/>
  <c r="F24" i="12"/>
  <c r="F24" i="9"/>
  <c r="R23" i="12"/>
  <c r="Q22" i="16"/>
  <c r="L23" i="16"/>
  <c r="K23" i="16"/>
  <c r="J23" i="16"/>
  <c r="G24" i="16" s="1"/>
  <c r="K23" i="10"/>
  <c r="L23" i="10"/>
  <c r="J23" i="10"/>
  <c r="G24" i="10" s="1"/>
  <c r="U11" i="18"/>
  <c r="V11" i="18" s="1"/>
  <c r="S12" i="18" s="1"/>
  <c r="F11" i="20"/>
  <c r="G11" i="20" s="1"/>
  <c r="E11" i="19"/>
  <c r="F11" i="19" s="1"/>
  <c r="J11" i="19" s="1"/>
  <c r="R23" i="10"/>
  <c r="P12" i="18"/>
  <c r="J23" i="9"/>
  <c r="G24" i="9" s="1"/>
  <c r="K23" i="9"/>
  <c r="L23" i="9"/>
  <c r="R23" i="16"/>
  <c r="N12" i="20"/>
  <c r="S14" i="6"/>
  <c r="H24" i="16"/>
  <c r="H24" i="10"/>
  <c r="H24" i="12"/>
  <c r="H24" i="9"/>
  <c r="Q15" i="4"/>
  <c r="R15" i="4" s="1"/>
  <c r="Q22" i="10"/>
  <c r="E24" i="12"/>
  <c r="E24" i="16"/>
  <c r="E24" i="10"/>
  <c r="E24" i="9"/>
  <c r="O15" i="2"/>
  <c r="R24" i="16" l="1"/>
  <c r="R24" i="10"/>
  <c r="P15" i="5"/>
  <c r="P15" i="6"/>
  <c r="P15" i="7"/>
  <c r="Q23" i="9"/>
  <c r="R15" i="6"/>
  <c r="R15" i="5"/>
  <c r="R15" i="7"/>
  <c r="Q12" i="18"/>
  <c r="K24" i="12"/>
  <c r="L24" i="12"/>
  <c r="J24" i="12"/>
  <c r="G25" i="12" s="1"/>
  <c r="K11" i="20"/>
  <c r="L11" i="20" s="1"/>
  <c r="O11" i="20" s="1"/>
  <c r="K11" i="19"/>
  <c r="L12" i="18"/>
  <c r="S23" i="10"/>
  <c r="U23" i="10" s="1"/>
  <c r="I12" i="20"/>
  <c r="J12" i="20" s="1"/>
  <c r="S23" i="12"/>
  <c r="U23" i="12" s="1"/>
  <c r="S15" i="4"/>
  <c r="J16" i="4" s="1"/>
  <c r="L16" i="4" s="1"/>
  <c r="M16" i="4" s="1"/>
  <c r="N16" i="4" s="1"/>
  <c r="O16" i="4" s="1"/>
  <c r="J24" i="9"/>
  <c r="G25" i="9" s="1"/>
  <c r="K24" i="9"/>
  <c r="L24" i="9"/>
  <c r="Q24" i="9" s="1"/>
  <c r="K24" i="16"/>
  <c r="J24" i="16"/>
  <c r="G25" i="16" s="1"/>
  <c r="L24" i="16"/>
  <c r="H25" i="16"/>
  <c r="H25" i="10"/>
  <c r="H25" i="12"/>
  <c r="H25" i="9"/>
  <c r="Q23" i="16"/>
  <c r="S23" i="16"/>
  <c r="U23" i="16" s="1"/>
  <c r="F25" i="12"/>
  <c r="F25" i="10"/>
  <c r="F25" i="16"/>
  <c r="F25" i="9"/>
  <c r="R24" i="12"/>
  <c r="T28" i="16"/>
  <c r="B29" i="16"/>
  <c r="Q23" i="10"/>
  <c r="M25" i="10"/>
  <c r="M25" i="16"/>
  <c r="M25" i="12"/>
  <c r="M25" i="9"/>
  <c r="L24" i="10"/>
  <c r="J24" i="10"/>
  <c r="G25" i="10" s="1"/>
  <c r="K24" i="10"/>
  <c r="O15" i="3"/>
  <c r="E25" i="12"/>
  <c r="E25" i="10"/>
  <c r="E25" i="16"/>
  <c r="E25" i="9"/>
  <c r="Q23" i="12"/>
  <c r="P15" i="2"/>
  <c r="P16" i="4" l="1"/>
  <c r="O16" i="5"/>
  <c r="O16" i="7"/>
  <c r="O16" i="6"/>
  <c r="S24" i="16"/>
  <c r="U24" i="16" s="1"/>
  <c r="R25" i="16"/>
  <c r="R25" i="10"/>
  <c r="F12" i="20"/>
  <c r="U12" i="18"/>
  <c r="E12" i="19"/>
  <c r="R12" i="18"/>
  <c r="N13" i="18" s="1"/>
  <c r="M26" i="16"/>
  <c r="L25" i="16"/>
  <c r="J25" i="16"/>
  <c r="G26" i="16" s="1"/>
  <c r="K25" i="16"/>
  <c r="Q16" i="4"/>
  <c r="R16" i="4" s="1"/>
  <c r="S16" i="4" s="1"/>
  <c r="J17" i="4" s="1"/>
  <c r="L17" i="4" s="1"/>
  <c r="M17" i="4" s="1"/>
  <c r="N17" i="4" s="1"/>
  <c r="D12" i="19"/>
  <c r="T12" i="18"/>
  <c r="E12" i="20"/>
  <c r="S24" i="10"/>
  <c r="U24" i="10" s="1"/>
  <c r="Q24" i="10"/>
  <c r="R25" i="12"/>
  <c r="K25" i="10"/>
  <c r="J25" i="10"/>
  <c r="L25" i="10"/>
  <c r="T29" i="16"/>
  <c r="B30" i="16"/>
  <c r="F26" i="16"/>
  <c r="H26" i="16"/>
  <c r="S24" i="12"/>
  <c r="U24" i="12" s="1"/>
  <c r="E26" i="16"/>
  <c r="J25" i="9"/>
  <c r="K25" i="9"/>
  <c r="L25" i="9"/>
  <c r="Q24" i="12"/>
  <c r="Q24" i="16"/>
  <c r="Q15" i="7"/>
  <c r="Q15" i="6"/>
  <c r="S15" i="6" s="1"/>
  <c r="Q15" i="5"/>
  <c r="S15" i="5" s="1"/>
  <c r="T15" i="5" s="1"/>
  <c r="V15" i="5" s="1"/>
  <c r="L25" i="12"/>
  <c r="K25" i="12"/>
  <c r="J25" i="12"/>
  <c r="M12" i="18"/>
  <c r="I13" i="18" s="1"/>
  <c r="P15" i="3"/>
  <c r="Q15" i="3" s="1"/>
  <c r="R15" i="3" s="1"/>
  <c r="S15" i="3" s="1"/>
  <c r="U15" i="3" s="1"/>
  <c r="J16" i="2"/>
  <c r="L16" i="2" s="1"/>
  <c r="M16" i="2" s="1"/>
  <c r="N16" i="2" s="1"/>
  <c r="O16" i="2" s="1"/>
  <c r="G12" i="20" l="1"/>
  <c r="P16" i="7"/>
  <c r="P16" i="5"/>
  <c r="P16" i="6"/>
  <c r="F12" i="19"/>
  <c r="J12" i="19" s="1"/>
  <c r="K12" i="20" s="1"/>
  <c r="L12" i="20" s="1"/>
  <c r="O12" i="20" s="1"/>
  <c r="P25" i="9"/>
  <c r="Q25" i="9"/>
  <c r="P25" i="12"/>
  <c r="Q25" i="12" s="1"/>
  <c r="R16" i="5"/>
  <c r="R16" i="7"/>
  <c r="R16" i="6"/>
  <c r="M27" i="16"/>
  <c r="T30" i="16"/>
  <c r="B31" i="16"/>
  <c r="D13" i="20"/>
  <c r="O13" i="18"/>
  <c r="K13" i="18" s="1"/>
  <c r="C13" i="19"/>
  <c r="I13" i="19" s="1"/>
  <c r="Q16" i="5"/>
  <c r="Q16" i="6"/>
  <c r="Q16" i="7"/>
  <c r="F27" i="16"/>
  <c r="R26" i="16"/>
  <c r="K26" i="16"/>
  <c r="L26" i="16"/>
  <c r="J26" i="16"/>
  <c r="G27" i="16" s="1"/>
  <c r="E27" i="16"/>
  <c r="H27" i="16"/>
  <c r="Q25" i="16"/>
  <c r="S25" i="16"/>
  <c r="U25" i="16" s="1"/>
  <c r="C13" i="20"/>
  <c r="H13" i="20" s="1"/>
  <c r="J13" i="18"/>
  <c r="P13" i="18" s="1"/>
  <c r="P25" i="10"/>
  <c r="S25" i="10" s="1"/>
  <c r="U25" i="10" s="1"/>
  <c r="H2" i="10" s="1"/>
  <c r="V12" i="18"/>
  <c r="S13" i="18" s="1"/>
  <c r="O17" i="4"/>
  <c r="P16" i="2"/>
  <c r="O16" i="3"/>
  <c r="S25" i="12" l="1"/>
  <c r="U25" i="12" s="1"/>
  <c r="H2" i="12" s="1"/>
  <c r="P17" i="4"/>
  <c r="O17" i="7"/>
  <c r="O17" i="5"/>
  <c r="O17" i="6"/>
  <c r="K12" i="19"/>
  <c r="S16" i="6"/>
  <c r="Q13" i="18"/>
  <c r="R13" i="18" s="1"/>
  <c r="N14" i="18" s="1"/>
  <c r="N13" i="20"/>
  <c r="T31" i="16"/>
  <c r="B32" i="16"/>
  <c r="S16" i="5"/>
  <c r="T16" i="5" s="1"/>
  <c r="V16" i="5" s="1"/>
  <c r="R27" i="16"/>
  <c r="E28" i="16"/>
  <c r="F28" i="16"/>
  <c r="L13" i="18"/>
  <c r="S26" i="16"/>
  <c r="U26" i="16" s="1"/>
  <c r="M28" i="16"/>
  <c r="J27" i="16"/>
  <c r="G28" i="16" s="1"/>
  <c r="L27" i="16"/>
  <c r="K27" i="16"/>
  <c r="Q17" i="4"/>
  <c r="R17" i="4" s="1"/>
  <c r="S17" i="4" s="1"/>
  <c r="J18" i="4" s="1"/>
  <c r="L18" i="4" s="1"/>
  <c r="M18" i="4" s="1"/>
  <c r="N18" i="4" s="1"/>
  <c r="Q25" i="10"/>
  <c r="H28" i="16"/>
  <c r="Q26" i="16"/>
  <c r="I13" i="20"/>
  <c r="J13" i="20" s="1"/>
  <c r="P16" i="3"/>
  <c r="Q16" i="3" s="1"/>
  <c r="R16" i="3" s="1"/>
  <c r="S16" i="3" s="1"/>
  <c r="U16" i="3" s="1"/>
  <c r="J17" i="2"/>
  <c r="L17" i="2" s="1"/>
  <c r="M17" i="2" s="1"/>
  <c r="N17" i="2" s="1"/>
  <c r="O17" i="2" s="1"/>
  <c r="P17" i="7" l="1"/>
  <c r="P17" i="5"/>
  <c r="P17" i="6"/>
  <c r="S27" i="16"/>
  <c r="U27" i="16" s="1"/>
  <c r="T13" i="18"/>
  <c r="D13" i="19"/>
  <c r="E13" i="20"/>
  <c r="F29" i="16"/>
  <c r="H29" i="16"/>
  <c r="J28" i="16"/>
  <c r="G29" i="16" s="1"/>
  <c r="K28" i="16"/>
  <c r="L28" i="16"/>
  <c r="R28" i="16"/>
  <c r="E29" i="16"/>
  <c r="M29" i="16"/>
  <c r="Q27" i="16"/>
  <c r="R17" i="6"/>
  <c r="R17" i="7"/>
  <c r="R17" i="5"/>
  <c r="U13" i="18"/>
  <c r="F13" i="20"/>
  <c r="E13" i="19"/>
  <c r="B33" i="16"/>
  <c r="T32" i="16"/>
  <c r="Q17" i="5"/>
  <c r="Q17" i="7"/>
  <c r="Q17" i="6"/>
  <c r="D14" i="20"/>
  <c r="C14" i="19"/>
  <c r="I14" i="19" s="1"/>
  <c r="O14" i="18"/>
  <c r="K14" i="18" s="1"/>
  <c r="M13" i="18"/>
  <c r="I14" i="18" s="1"/>
  <c r="O18" i="4"/>
  <c r="P17" i="2"/>
  <c r="O17" i="3"/>
  <c r="P18" i="4" l="1"/>
  <c r="O18" i="5"/>
  <c r="O18" i="7"/>
  <c r="O18" i="6"/>
  <c r="F13" i="19"/>
  <c r="J13" i="19" s="1"/>
  <c r="K13" i="20" s="1"/>
  <c r="L13" i="20" s="1"/>
  <c r="O13" i="20" s="1"/>
  <c r="G13" i="20"/>
  <c r="Q28" i="16"/>
  <c r="S17" i="6"/>
  <c r="S17" i="5"/>
  <c r="T17" i="5" s="1"/>
  <c r="V17" i="5" s="1"/>
  <c r="F30" i="16"/>
  <c r="B34" i="16"/>
  <c r="T33" i="16"/>
  <c r="Q18" i="4"/>
  <c r="R18" i="4" s="1"/>
  <c r="H30" i="16"/>
  <c r="I14" i="20"/>
  <c r="S28" i="16"/>
  <c r="U28" i="16" s="1"/>
  <c r="V13" i="18"/>
  <c r="S14" i="18" s="1"/>
  <c r="J14" i="18"/>
  <c r="P14" i="18" s="1"/>
  <c r="Q14" i="18" s="1"/>
  <c r="C14" i="20"/>
  <c r="H14" i="20" s="1"/>
  <c r="M30" i="16"/>
  <c r="R29" i="16"/>
  <c r="E30" i="16"/>
  <c r="J29" i="16"/>
  <c r="G30" i="16" s="1"/>
  <c r="L29" i="16"/>
  <c r="K29" i="16"/>
  <c r="P17" i="3"/>
  <c r="Q17" i="3" s="1"/>
  <c r="R17" i="3" s="1"/>
  <c r="S17" i="3" s="1"/>
  <c r="U17" i="3" s="1"/>
  <c r="J18" i="2"/>
  <c r="L18" i="2" s="1"/>
  <c r="M18" i="2" s="1"/>
  <c r="N18" i="2" s="1"/>
  <c r="O18" i="2" s="1"/>
  <c r="K13" i="19" l="1"/>
  <c r="P18" i="7"/>
  <c r="P18" i="5"/>
  <c r="P18" i="6"/>
  <c r="L14" i="18"/>
  <c r="M14" i="18" s="1"/>
  <c r="S29" i="16"/>
  <c r="U29" i="16" s="1"/>
  <c r="D14" i="19"/>
  <c r="E14" i="20"/>
  <c r="H31" i="16"/>
  <c r="T34" i="16"/>
  <c r="B35" i="16"/>
  <c r="J14" i="20"/>
  <c r="N14" i="20"/>
  <c r="R6" i="20" s="1"/>
  <c r="R18" i="7"/>
  <c r="R18" i="6"/>
  <c r="R18" i="5"/>
  <c r="E31" i="16"/>
  <c r="U14" i="18"/>
  <c r="E14" i="19"/>
  <c r="F14" i="20"/>
  <c r="S18" i="4"/>
  <c r="J19" i="4" s="1"/>
  <c r="L19" i="4" s="1"/>
  <c r="M19" i="4" s="1"/>
  <c r="N19" i="4" s="1"/>
  <c r="O19" i="4" s="1"/>
  <c r="F31" i="16"/>
  <c r="R30" i="16"/>
  <c r="Q29" i="16"/>
  <c r="R14" i="18"/>
  <c r="M31" i="16"/>
  <c r="K30" i="16"/>
  <c r="Q30" i="16" s="1"/>
  <c r="L30" i="16"/>
  <c r="J30" i="16"/>
  <c r="G31" i="16" s="1"/>
  <c r="P18" i="2"/>
  <c r="O18" i="3"/>
  <c r="P19" i="4" l="1"/>
  <c r="O19" i="5"/>
  <c r="O19" i="7"/>
  <c r="O19" i="6"/>
  <c r="T14" i="18"/>
  <c r="V14" i="18"/>
  <c r="R31" i="16"/>
  <c r="E32" i="16"/>
  <c r="H32" i="16"/>
  <c r="J31" i="16"/>
  <c r="G32" i="16" s="1"/>
  <c r="L31" i="16"/>
  <c r="K31" i="16"/>
  <c r="F32" i="16"/>
  <c r="G14" i="20"/>
  <c r="Q19" i="4"/>
  <c r="R19" i="4" s="1"/>
  <c r="S19" i="4" s="1"/>
  <c r="J20" i="4" s="1"/>
  <c r="L20" i="4" s="1"/>
  <c r="M20" i="4" s="1"/>
  <c r="N20" i="4" s="1"/>
  <c r="M32" i="16"/>
  <c r="Q18" i="7"/>
  <c r="Q18" i="5"/>
  <c r="S18" i="5" s="1"/>
  <c r="T18" i="5" s="1"/>
  <c r="V18" i="5" s="1"/>
  <c r="Q18" i="6"/>
  <c r="S18" i="6" s="1"/>
  <c r="F14" i="19"/>
  <c r="J14" i="19" s="1"/>
  <c r="B36" i="16"/>
  <c r="T36" i="16" s="1"/>
  <c r="U36" i="16" s="1"/>
  <c r="T35" i="16"/>
  <c r="S30" i="16"/>
  <c r="U30" i="16" s="1"/>
  <c r="P18" i="3"/>
  <c r="Q18" i="3" s="1"/>
  <c r="R18" i="3" s="1"/>
  <c r="S18" i="3" s="1"/>
  <c r="U18" i="3" s="1"/>
  <c r="J19" i="2"/>
  <c r="L19" i="2" s="1"/>
  <c r="M19" i="2" s="1"/>
  <c r="N19" i="2" s="1"/>
  <c r="O19" i="2" s="1"/>
  <c r="S31" i="16" l="1"/>
  <c r="U31" i="16" s="1"/>
  <c r="P19" i="7"/>
  <c r="P19" i="6"/>
  <c r="Q19" i="6" s="1"/>
  <c r="P19" i="5"/>
  <c r="Q19" i="5" s="1"/>
  <c r="K14" i="20"/>
  <c r="L14" i="20" s="1"/>
  <c r="O14" i="20" s="1"/>
  <c r="R5" i="20" s="1"/>
  <c r="R7" i="20" s="1"/>
  <c r="K14" i="19"/>
  <c r="R32" i="16"/>
  <c r="H33" i="16"/>
  <c r="E33" i="16"/>
  <c r="F33" i="16"/>
  <c r="Q31" i="16"/>
  <c r="Q19" i="7"/>
  <c r="M33" i="16"/>
  <c r="R19" i="6"/>
  <c r="R19" i="5"/>
  <c r="R19" i="7"/>
  <c r="K32" i="16"/>
  <c r="L32" i="16"/>
  <c r="J32" i="16"/>
  <c r="G33" i="16" s="1"/>
  <c r="O20" i="4"/>
  <c r="P19" i="2"/>
  <c r="O19" i="3"/>
  <c r="P20" i="4" l="1"/>
  <c r="O20" i="5"/>
  <c r="O20" i="7"/>
  <c r="O20" i="6"/>
  <c r="S32" i="16"/>
  <c r="U32" i="16" s="1"/>
  <c r="S19" i="6"/>
  <c r="E35" i="16"/>
  <c r="E34" i="16"/>
  <c r="H35" i="16"/>
  <c r="H34" i="16"/>
  <c r="Q32" i="16"/>
  <c r="S19" i="5"/>
  <c r="T19" i="5" s="1"/>
  <c r="V19" i="5" s="1"/>
  <c r="F35" i="16"/>
  <c r="F34" i="16"/>
  <c r="M35" i="16"/>
  <c r="M34" i="16"/>
  <c r="Q20" i="4"/>
  <c r="R20" i="4" s="1"/>
  <c r="S20" i="4" s="1"/>
  <c r="J21" i="4" s="1"/>
  <c r="L21" i="4" s="1"/>
  <c r="M21" i="4" s="1"/>
  <c r="N21" i="4" s="1"/>
  <c r="K33" i="16"/>
  <c r="J33" i="16"/>
  <c r="G34" i="16" s="1"/>
  <c r="L33" i="16"/>
  <c r="R33" i="16"/>
  <c r="P19" i="3"/>
  <c r="Q19" i="3" s="1"/>
  <c r="R19" i="3" s="1"/>
  <c r="S19" i="3" s="1"/>
  <c r="U19" i="3" s="1"/>
  <c r="J20" i="2"/>
  <c r="L20" i="2" s="1"/>
  <c r="M20" i="2" s="1"/>
  <c r="N20" i="2" s="1"/>
  <c r="O20" i="2" s="1"/>
  <c r="P20" i="6" l="1"/>
  <c r="P20" i="7"/>
  <c r="P20" i="5"/>
  <c r="S33" i="16"/>
  <c r="U33" i="16"/>
  <c r="Q20" i="5"/>
  <c r="Q20" i="7"/>
  <c r="Q20" i="6"/>
  <c r="Q33" i="16"/>
  <c r="R34" i="16"/>
  <c r="J34" i="16"/>
  <c r="G35" i="16" s="1"/>
  <c r="K34" i="16"/>
  <c r="L34" i="16"/>
  <c r="R20" i="7"/>
  <c r="R20" i="6"/>
  <c r="R20" i="5"/>
  <c r="R35" i="16"/>
  <c r="O21" i="4"/>
  <c r="P20" i="2"/>
  <c r="O20" i="3"/>
  <c r="P21" i="4" l="1"/>
  <c r="O21" i="6"/>
  <c r="O21" i="7"/>
  <c r="O21" i="5"/>
  <c r="S20" i="5"/>
  <c r="T20" i="5" s="1"/>
  <c r="V20" i="5" s="1"/>
  <c r="S34" i="16"/>
  <c r="U34" i="16" s="1"/>
  <c r="S20" i="6"/>
  <c r="L35" i="16"/>
  <c r="K35" i="16"/>
  <c r="J35" i="16"/>
  <c r="Q21" i="4"/>
  <c r="R21" i="4" s="1"/>
  <c r="Q34" i="16"/>
  <c r="P20" i="3"/>
  <c r="Q20" i="3" s="1"/>
  <c r="R20" i="3" s="1"/>
  <c r="S20" i="3" s="1"/>
  <c r="U20" i="3" s="1"/>
  <c r="J21" i="2"/>
  <c r="L21" i="2" s="1"/>
  <c r="M21" i="2" s="1"/>
  <c r="N21" i="2" s="1"/>
  <c r="O21" i="2" s="1"/>
  <c r="P21" i="6" l="1"/>
  <c r="P21" i="7"/>
  <c r="P21" i="5"/>
  <c r="R21" i="7"/>
  <c r="R21" i="6"/>
  <c r="R21" i="5"/>
  <c r="P35" i="16"/>
  <c r="S21" i="4"/>
  <c r="J22" i="4" s="1"/>
  <c r="L22" i="4" s="1"/>
  <c r="M22" i="4" s="1"/>
  <c r="N22" i="4" s="1"/>
  <c r="O22" i="4" s="1"/>
  <c r="P21" i="2"/>
  <c r="O21" i="3"/>
  <c r="P22" i="4" l="1"/>
  <c r="O22" i="6"/>
  <c r="O22" i="5"/>
  <c r="O22" i="7"/>
  <c r="Q35" i="16"/>
  <c r="Q22" i="4"/>
  <c r="R22" i="4" s="1"/>
  <c r="S22" i="4" s="1"/>
  <c r="Q21" i="7"/>
  <c r="Q21" i="5"/>
  <c r="S21" i="5" s="1"/>
  <c r="T21" i="5" s="1"/>
  <c r="V21" i="5" s="1"/>
  <c r="Q21" i="6"/>
  <c r="S21" i="6" s="1"/>
  <c r="S35" i="16"/>
  <c r="U35" i="16" s="1"/>
  <c r="H2" i="16" s="1"/>
  <c r="P21" i="3"/>
  <c r="Q21" i="3" s="1"/>
  <c r="R21" i="3" s="1"/>
  <c r="S21" i="3" s="1"/>
  <c r="U21" i="3" s="1"/>
  <c r="J22" i="2"/>
  <c r="L22" i="2" s="1"/>
  <c r="M22" i="2" s="1"/>
  <c r="N22" i="2" s="1"/>
  <c r="O22" i="2" s="1"/>
  <c r="P22" i="6" l="1"/>
  <c r="P22" i="7"/>
  <c r="P22" i="5"/>
  <c r="Q22" i="7"/>
  <c r="Q22" i="6"/>
  <c r="Q22" i="5"/>
  <c r="R22" i="5"/>
  <c r="R22" i="6"/>
  <c r="R22" i="7"/>
  <c r="P22" i="2"/>
  <c r="P22" i="3" s="1"/>
  <c r="Q22" i="3" s="1"/>
  <c r="O22" i="3"/>
  <c r="S22" i="6" l="1"/>
  <c r="T21" i="6" s="1"/>
  <c r="R22" i="3"/>
  <c r="S22" i="3" s="1"/>
  <c r="U22" i="3" s="1"/>
  <c r="G3" i="3" s="1"/>
  <c r="S22" i="5"/>
  <c r="T22" i="5" s="1"/>
  <c r="V22" i="5" s="1"/>
  <c r="G3" i="5" s="1"/>
  <c r="T20" i="6" l="1"/>
  <c r="T19" i="6" s="1"/>
  <c r="T21" i="7"/>
  <c r="S22" i="7"/>
  <c r="U22" i="7" s="1"/>
  <c r="V22" i="7" s="1"/>
  <c r="W22" i="7" s="1"/>
  <c r="Y22" i="7" s="1"/>
  <c r="S20" i="7" l="1"/>
  <c r="U20" i="7" s="1"/>
  <c r="T19" i="7"/>
  <c r="T20" i="7"/>
  <c r="S21" i="7"/>
  <c r="U21" i="7" s="1"/>
  <c r="V21" i="7" s="1"/>
  <c r="W21" i="7" s="1"/>
  <c r="Y21" i="7" s="1"/>
  <c r="T18" i="6"/>
  <c r="S19" i="7" l="1"/>
  <c r="U19" i="7" s="1"/>
  <c r="V19" i="7" s="1"/>
  <c r="W19" i="7" s="1"/>
  <c r="Y19" i="7" s="1"/>
  <c r="T18" i="7"/>
  <c r="V20" i="7"/>
  <c r="W20" i="7" s="1"/>
  <c r="Y20" i="7" s="1"/>
  <c r="T17" i="6"/>
  <c r="S18" i="7" l="1"/>
  <c r="U18" i="7" s="1"/>
  <c r="V18" i="7" s="1"/>
  <c r="W18" i="7" s="1"/>
  <c r="Y18" i="7" s="1"/>
  <c r="T17" i="7"/>
  <c r="T16" i="6"/>
  <c r="T16" i="7" l="1"/>
  <c r="S17" i="7"/>
  <c r="U17" i="7" s="1"/>
  <c r="V17" i="7" s="1"/>
  <c r="W17" i="7" s="1"/>
  <c r="Y17" i="7" s="1"/>
  <c r="T15" i="6"/>
  <c r="S16" i="7" l="1"/>
  <c r="U16" i="7" s="1"/>
  <c r="V16" i="7" s="1"/>
  <c r="W16" i="7" s="1"/>
  <c r="Y16" i="7" s="1"/>
  <c r="T15" i="7"/>
  <c r="T14" i="6"/>
  <c r="S15" i="7" l="1"/>
  <c r="U15" i="7" s="1"/>
  <c r="V15" i="7" s="1"/>
  <c r="W15" i="7" s="1"/>
  <c r="Y15" i="7" s="1"/>
  <c r="T14" i="7"/>
  <c r="T13" i="6"/>
  <c r="T13" i="7" l="1"/>
  <c r="S14" i="7"/>
  <c r="U14" i="7" s="1"/>
  <c r="V14" i="7" s="1"/>
  <c r="W14" i="7" s="1"/>
  <c r="Y14" i="7" s="1"/>
  <c r="T12" i="6"/>
  <c r="T12" i="7" l="1"/>
  <c r="S13" i="7"/>
  <c r="U13" i="7" s="1"/>
  <c r="V13" i="7" s="1"/>
  <c r="W13" i="7" s="1"/>
  <c r="Y13" i="7" s="1"/>
  <c r="T11" i="6"/>
  <c r="S12" i="7" l="1"/>
  <c r="U12" i="7" s="1"/>
  <c r="V12" i="7" s="1"/>
  <c r="W12" i="7" s="1"/>
  <c r="Y12" i="7" s="1"/>
  <c r="T11" i="7"/>
  <c r="T10" i="6"/>
  <c r="S11" i="7" l="1"/>
  <c r="U11" i="7" s="1"/>
  <c r="V11" i="7" s="1"/>
  <c r="W11" i="7" s="1"/>
  <c r="Y11" i="7" s="1"/>
  <c r="T10" i="7"/>
  <c r="T9" i="6"/>
  <c r="S10" i="7" l="1"/>
  <c r="U10" i="7" s="1"/>
  <c r="V10" i="7" s="1"/>
  <c r="W10" i="7" s="1"/>
  <c r="Y10" i="7" s="1"/>
  <c r="T9" i="7"/>
  <c r="T8" i="6"/>
  <c r="T8" i="7" l="1"/>
  <c r="S9" i="7"/>
  <c r="U9" i="7"/>
  <c r="V9" i="7" s="1"/>
  <c r="W9" i="7" s="1"/>
  <c r="Y9" i="7" s="1"/>
  <c r="V8" i="7"/>
  <c r="W8" i="7" s="1"/>
  <c r="Y8" i="7" s="1"/>
  <c r="G3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tc={90240DF0-A524-4CD4-A23C-AB991CF90FFF}</author>
  </authors>
  <commentList>
    <comment ref="AE6" authorId="0" shapeId="0" xr:uid="{90240DF0-A524-4CD4-A23C-AB991CF90FFF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</t>
      </text>
    </comment>
  </commentList>
</comments>
</file>

<file path=xl/sharedStrings.xml><?xml version="1.0" encoding="utf-8"?>
<sst xmlns="http://schemas.openxmlformats.org/spreadsheetml/2006/main" count="335" uniqueCount="147">
  <si>
    <t>Mortality table</t>
  </si>
  <si>
    <t>Age</t>
  </si>
  <si>
    <t>qx</t>
  </si>
  <si>
    <t>Policy Year</t>
  </si>
  <si>
    <t>Allocation charge</t>
  </si>
  <si>
    <t>Initial expenses</t>
  </si>
  <si>
    <t>Renewal Expenses</t>
  </si>
  <si>
    <t>Bid-offer spread</t>
  </si>
  <si>
    <t>Policy fee</t>
  </si>
  <si>
    <t>Annual Maintenance Charge</t>
  </si>
  <si>
    <t>Surrender</t>
  </si>
  <si>
    <t>Unit Fund Growth Rate</t>
  </si>
  <si>
    <t>Non unit fun interest rate</t>
  </si>
  <si>
    <t>Premium</t>
  </si>
  <si>
    <t>Sum Assured</t>
  </si>
  <si>
    <t>Age at Entry</t>
  </si>
  <si>
    <t>Allocated Premium</t>
  </si>
  <si>
    <t>Allocated premium after deducting spread</t>
  </si>
  <si>
    <t>Policy Fee</t>
  </si>
  <si>
    <t>Fund at the beginning of the year</t>
  </si>
  <si>
    <t>Fund after deduction of policy fee</t>
  </si>
  <si>
    <t>Interest earned on the fund</t>
  </si>
  <si>
    <t>Fund after interest</t>
  </si>
  <si>
    <t>Annual maintenance charge</t>
  </si>
  <si>
    <t>Fund value at the end</t>
  </si>
  <si>
    <t>Unallocated Premium</t>
  </si>
  <si>
    <t>Bid offer spread</t>
  </si>
  <si>
    <t>Initial Expenses</t>
  </si>
  <si>
    <t>Commission</t>
  </si>
  <si>
    <t>Interest on Non unit Fund</t>
  </si>
  <si>
    <t>Death Rate</t>
  </si>
  <si>
    <t>Surrender Rate</t>
  </si>
  <si>
    <t>Annual maintenance Charge</t>
  </si>
  <si>
    <t>Death Benefit from Non unit fund</t>
  </si>
  <si>
    <t>Death Outgo from non unit fund</t>
  </si>
  <si>
    <t>Profit</t>
  </si>
  <si>
    <t>Profit Signature</t>
  </si>
  <si>
    <t>Discount Factor</t>
  </si>
  <si>
    <t>Risk discount rate</t>
  </si>
  <si>
    <t>EPV of profits</t>
  </si>
  <si>
    <t>Total EPV of profits</t>
  </si>
  <si>
    <t>No. of policies at start of the year</t>
  </si>
  <si>
    <t>Sum at risk</t>
  </si>
  <si>
    <t>Mortality Charge</t>
  </si>
  <si>
    <t>Fund value at the end before mortality charge</t>
  </si>
  <si>
    <t>Fund Value at the end</t>
  </si>
  <si>
    <t>Sum At risk</t>
  </si>
  <si>
    <t>Mortality charge</t>
  </si>
  <si>
    <t>Net cashflow</t>
  </si>
  <si>
    <t>Non-unit reserve</t>
  </si>
  <si>
    <t>NUR Interest</t>
  </si>
  <si>
    <t>Initial Investment</t>
  </si>
  <si>
    <t>Infrastructure Cost</t>
  </si>
  <si>
    <t>Risk Free Return</t>
  </si>
  <si>
    <t>p.a</t>
  </si>
  <si>
    <t>Year</t>
  </si>
  <si>
    <t>Salaries</t>
  </si>
  <si>
    <t>Deposit account interest rate</t>
  </si>
  <si>
    <t>Rent</t>
  </si>
  <si>
    <t>Withdrawals</t>
  </si>
  <si>
    <t>Deposits for the year</t>
  </si>
  <si>
    <t>Withdrawals for the year</t>
  </si>
  <si>
    <t>No. of customers at the end of the year</t>
  </si>
  <si>
    <t>Initial Outlay</t>
  </si>
  <si>
    <t>Initial Infra Cost</t>
  </si>
  <si>
    <t>Interest on deposits</t>
  </si>
  <si>
    <t>Interest on Loans</t>
  </si>
  <si>
    <t>Deposits at the start of the year</t>
  </si>
  <si>
    <t>Additional Deposits</t>
  </si>
  <si>
    <t>Deposits at the end of the year</t>
  </si>
  <si>
    <t>Maintenance charge</t>
  </si>
  <si>
    <t>Withdrawal fee</t>
  </si>
  <si>
    <t>Withdrawal charges</t>
  </si>
  <si>
    <t>Interest on initial investment</t>
  </si>
  <si>
    <t>Final Sale Value</t>
  </si>
  <si>
    <t>Final Cashflow</t>
  </si>
  <si>
    <t>Discount Rate</t>
  </si>
  <si>
    <t>Discounting Factor</t>
  </si>
  <si>
    <t>End of the year cashflow</t>
  </si>
  <si>
    <t>Start of the year cashflow</t>
  </si>
  <si>
    <t>NPV of cashflows</t>
  </si>
  <si>
    <t>Total NPV</t>
  </si>
  <si>
    <t>IRR</t>
  </si>
  <si>
    <t>&lt;&lt;goal seeked to be 0</t>
  </si>
  <si>
    <t>a</t>
  </si>
  <si>
    <t>It will reduce the income of the bank and hence, lead to a lower NPV</t>
  </si>
  <si>
    <t>Lower profits lead to a lower IRR</t>
  </si>
  <si>
    <t>b</t>
  </si>
  <si>
    <t>Lower proportion of deposits being given out as loan will lead to lower income</t>
  </si>
  <si>
    <t>This will lead to a lower NPV and a lower IRR</t>
  </si>
  <si>
    <t>c</t>
  </si>
  <si>
    <t>A lower fee will lead to a lower income</t>
  </si>
  <si>
    <t>Transition Probabilities</t>
  </si>
  <si>
    <t>Healthy to Sick (HS)</t>
  </si>
  <si>
    <t>Healthy to Dead (HD)</t>
  </si>
  <si>
    <t>Sick to Dead (SD)</t>
  </si>
  <si>
    <t>Sick to Healthy (SH)</t>
  </si>
  <si>
    <t>Healthy to Healthy (HH)</t>
  </si>
  <si>
    <t>Sick to Sick (SS)</t>
  </si>
  <si>
    <t>Healthy State</t>
  </si>
  <si>
    <t>No. of lives at start</t>
  </si>
  <si>
    <t>No. of  lives transitioning to Sick State</t>
  </si>
  <si>
    <t>No. of  lives transitioning to Dead State</t>
  </si>
  <si>
    <t>No. of lives at End</t>
  </si>
  <si>
    <t>No. of policyholders at start</t>
  </si>
  <si>
    <t>Sick State</t>
  </si>
  <si>
    <t>No. of  lives transitioning from Sick State</t>
  </si>
  <si>
    <t>No. of  lives transitioning to Healthy State</t>
  </si>
  <si>
    <t>No. of  lives transitioning from Healthy State</t>
  </si>
  <si>
    <t>Dead State</t>
  </si>
  <si>
    <t>No. of lives at end</t>
  </si>
  <si>
    <t>No. of Sick people at start of the year</t>
  </si>
  <si>
    <t>No. of deaths from Healthy State</t>
  </si>
  <si>
    <t>No. of deaths from Sick State</t>
  </si>
  <si>
    <t>Total Deaths</t>
  </si>
  <si>
    <t>Benefit on sickness</t>
  </si>
  <si>
    <t>Benefit on Death</t>
  </si>
  <si>
    <t>Sickness Benefit</t>
  </si>
  <si>
    <t>Death Benefit</t>
  </si>
  <si>
    <t>Total Sickness Benefit</t>
  </si>
  <si>
    <t>Total Death Benefit</t>
  </si>
  <si>
    <t>Total Expected Benefits</t>
  </si>
  <si>
    <t>No. of Healthy people at start of the year</t>
  </si>
  <si>
    <t>EPV of premium</t>
  </si>
  <si>
    <t>Interest</t>
  </si>
  <si>
    <t>Discount factor</t>
  </si>
  <si>
    <t>EPV of premiums</t>
  </si>
  <si>
    <t>% of profits to premium</t>
  </si>
  <si>
    <t>&lt;&lt;goal seeked to be 2%</t>
  </si>
  <si>
    <t>&lt;&lt;allow difference for rounding</t>
  </si>
  <si>
    <t>Inclusion of a lapse state will reduce the no. of people transitioning to sick state</t>
  </si>
  <si>
    <t>This will reduce the EPV of sickness benefits</t>
  </si>
  <si>
    <t>Inclusion of a lapse state will reduce the no. of people in healthy state at the start of the year</t>
  </si>
  <si>
    <t>This will reduce the EPV of  premiums</t>
  </si>
  <si>
    <t>Inclusion of lapse state will lead to lower benefits being  paid to policyholders</t>
  </si>
  <si>
    <t>This will increase the EPV of profits</t>
  </si>
  <si>
    <t>This is because some policyholders are expected to lapse in the real world</t>
  </si>
  <si>
    <t>Inclusion of lapse state leads to a more realisitc approach of  pricing</t>
  </si>
  <si>
    <t>Assuming zero lapses gives a more prudent approach as it leads to a higher EPV of benefits</t>
  </si>
  <si>
    <t>The NPV has increased from ii</t>
  </si>
  <si>
    <t>This is because the bank earns additional maontenance charges over the next 10 years.</t>
  </si>
  <si>
    <t>Since, the number of customers grows drastically, the maintenance chargers also grow very fast.</t>
  </si>
  <si>
    <t>Compared to this, the growth in salary and rent are quite lower.</t>
  </si>
  <si>
    <t>Hence, there is an increase in NPV</t>
  </si>
  <si>
    <t>Interest on non-unit reserve</t>
  </si>
  <si>
    <t>Non-unit Reserve at start</t>
  </si>
  <si>
    <t>Non-unit Reserve at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</si>
</sst>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00_ ;_ * \-#,##0.00000_ ;_ * &quot;-&quot;??_ ;_ @_ "/>
    <numFmt numFmtId="167" formatCode="0.000000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rgb="FFFF0000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i/>
      <sz val="11"/>
      <color theme="7" tint="-0.249977111117893"/>
      <name val="Aptos Narrow"/>
      <family val="2"/>
      <scheme val="minor"/>
    </font>
    <font>
      <sz val="11"/>
      <color rgb="FF00206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9" fontId="0" fillId="0" borderId="0" xfId="0" applyNumberFormat="1"/>
    <xf numFmtId="0" fontId="0" fillId="0" borderId="1" xfId="0" applyBorder="1"/>
    <xf numFmtId="9" fontId="0" fillId="0" borderId="1" xfId="0" applyNumberFormat="1" applyBorder="1"/>
    <xf numFmtId="164" fontId="0" fillId="0" borderId="1" xfId="1" applyNumberFormat="1" applyFont="1" applyBorder="1"/>
    <xf numFmtId="0" fontId="0" fillId="0" borderId="1" xfId="0" applyBorder="1" applyAlignment="1">
      <alignment wrapText="1"/>
    </xf>
    <xf numFmtId="164" fontId="0" fillId="0" borderId="1" xfId="1" applyNumberFormat="1" applyFont="1" applyFill="1" applyBorder="1"/>
    <xf numFmtId="0" fontId="2" fillId="0" borderId="1" xfId="0" applyFont="1" applyBorder="1" applyAlignment="1">
      <alignment wrapText="1"/>
    </xf>
    <xf numFmtId="0" fontId="0" fillId="2" borderId="1" xfId="0" applyFill="1" applyBorder="1"/>
    <xf numFmtId="43" fontId="0" fillId="0" borderId="0" xfId="0" applyNumberFormat="1"/>
    <xf numFmtId="165" fontId="0" fillId="0" borderId="1" xfId="0" applyNumberFormat="1" applyBorder="1"/>
    <xf numFmtId="43" fontId="0" fillId="0" borderId="1" xfId="0" applyNumberForma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3" fontId="0" fillId="0" borderId="8" xfId="1" applyFont="1" applyBorder="1"/>
    <xf numFmtId="0" fontId="0" fillId="0" borderId="9" xfId="0" applyBorder="1"/>
    <xf numFmtId="0" fontId="0" fillId="0" borderId="10" xfId="0" applyBorder="1"/>
    <xf numFmtId="43" fontId="0" fillId="0" borderId="10" xfId="0" applyNumberFormat="1" applyBorder="1"/>
    <xf numFmtId="43" fontId="0" fillId="0" borderId="11" xfId="1" applyFont="1" applyBorder="1"/>
    <xf numFmtId="0" fontId="0" fillId="0" borderId="8" xfId="0" applyBorder="1"/>
    <xf numFmtId="0" fontId="0" fillId="0" borderId="11" xfId="0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10" xfId="1" applyNumberFormat="1" applyFont="1" applyBorder="1"/>
    <xf numFmtId="164" fontId="0" fillId="0" borderId="11" xfId="1" applyNumberFormat="1" applyFont="1" applyBorder="1"/>
    <xf numFmtId="166" fontId="0" fillId="0" borderId="1" xfId="1" applyNumberFormat="1" applyFont="1" applyBorder="1"/>
    <xf numFmtId="166" fontId="0" fillId="0" borderId="10" xfId="1" applyNumberFormat="1" applyFont="1" applyBorder="1"/>
    <xf numFmtId="43" fontId="2" fillId="0" borderId="1" xfId="0" applyNumberFormat="1" applyFont="1" applyBorder="1"/>
    <xf numFmtId="164" fontId="0" fillId="0" borderId="1" xfId="0" applyNumberFormat="1" applyBorder="1"/>
    <xf numFmtId="164" fontId="0" fillId="0" borderId="12" xfId="1" applyNumberFormat="1" applyFont="1" applyBorder="1"/>
    <xf numFmtId="167" fontId="0" fillId="0" borderId="1" xfId="0" applyNumberFormat="1" applyBorder="1"/>
    <xf numFmtId="0" fontId="2" fillId="0" borderId="13" xfId="0" applyFont="1" applyBorder="1" applyAlignment="1">
      <alignment wrapText="1"/>
    </xf>
    <xf numFmtId="164" fontId="0" fillId="0" borderId="14" xfId="1" applyNumberFormat="1" applyFont="1" applyBorder="1"/>
    <xf numFmtId="10" fontId="0" fillId="0" borderId="0" xfId="0" applyNumberFormat="1"/>
    <xf numFmtId="43" fontId="0" fillId="0" borderId="1" xfId="1" applyFont="1" applyBorder="1"/>
    <xf numFmtId="10" fontId="0" fillId="0" borderId="1" xfId="0" applyNumberFormat="1" applyBorder="1"/>
    <xf numFmtId="0" fontId="0" fillId="0" borderId="16" xfId="0" applyBorder="1"/>
    <xf numFmtId="0" fontId="0" fillId="0" borderId="17" xfId="0" applyBorder="1"/>
    <xf numFmtId="0" fontId="2" fillId="0" borderId="18" xfId="0" applyFont="1" applyBorder="1" applyAlignment="1">
      <alignment wrapText="1"/>
    </xf>
    <xf numFmtId="0" fontId="0" fillId="0" borderId="19" xfId="0" applyBorder="1"/>
    <xf numFmtId="164" fontId="0" fillId="0" borderId="20" xfId="1" applyNumberFormat="1" applyFont="1" applyBorder="1"/>
    <xf numFmtId="164" fontId="0" fillId="0" borderId="21" xfId="1" applyNumberFormat="1" applyFont="1" applyBorder="1"/>
    <xf numFmtId="164" fontId="0" fillId="0" borderId="22" xfId="1" applyNumberFormat="1" applyFont="1" applyBorder="1"/>
    <xf numFmtId="0" fontId="2" fillId="0" borderId="15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3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164" fontId="0" fillId="0" borderId="27" xfId="1" applyNumberFormat="1" applyFont="1" applyBorder="1"/>
    <xf numFmtId="164" fontId="0" fillId="0" borderId="28" xfId="1" applyNumberFormat="1" applyFont="1" applyBorder="1"/>
    <xf numFmtId="164" fontId="0" fillId="0" borderId="29" xfId="1" applyNumberFormat="1" applyFont="1" applyBorder="1"/>
    <xf numFmtId="0" fontId="2" fillId="0" borderId="15" xfId="0" applyFont="1" applyBorder="1" applyAlignment="1">
      <alignment wrapText="1"/>
    </xf>
    <xf numFmtId="0" fontId="2" fillId="0" borderId="30" xfId="0" applyFont="1" applyBorder="1" applyAlignment="1">
      <alignment wrapText="1"/>
    </xf>
    <xf numFmtId="164" fontId="0" fillId="0" borderId="31" xfId="1" applyNumberFormat="1" applyFont="1" applyBorder="1"/>
    <xf numFmtId="164" fontId="0" fillId="0" borderId="32" xfId="1" applyNumberFormat="1" applyFont="1" applyBorder="1"/>
    <xf numFmtId="164" fontId="2" fillId="0" borderId="1" xfId="0" applyNumberFormat="1" applyFont="1" applyBorder="1"/>
    <xf numFmtId="9" fontId="2" fillId="0" borderId="1" xfId="0" applyNumberFormat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0" fontId="2" fillId="3" borderId="1" xfId="0" applyNumberFormat="1" applyFont="1" applyFill="1" applyBorder="1"/>
    <xf numFmtId="0" fontId="6" fillId="0" borderId="0" xfId="0" applyFont="1"/>
    <xf numFmtId="43" fontId="2" fillId="3" borderId="1" xfId="1" applyFont="1" applyFill="1" applyBorder="1"/>
    <xf numFmtId="0" fontId="0" fillId="0" borderId="12" xfId="0" applyBorder="1"/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43" fontId="0" fillId="0" borderId="7" xfId="1" applyFont="1" applyBorder="1"/>
    <xf numFmtId="43" fontId="0" fillId="0" borderId="8" xfId="0" applyNumberFormat="1" applyBorder="1"/>
    <xf numFmtId="43" fontId="0" fillId="0" borderId="7" xfId="0" applyNumberFormat="1" applyBorder="1"/>
    <xf numFmtId="43" fontId="0" fillId="0" borderId="9" xfId="0" applyNumberFormat="1" applyBorder="1"/>
    <xf numFmtId="43" fontId="0" fillId="0" borderId="11" xfId="0" applyNumberFormat="1" applyBorder="1"/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12" xfId="0" applyFont="1" applyBorder="1" applyAlignment="1">
      <alignment wrapText="1"/>
    </xf>
    <xf numFmtId="43" fontId="0" fillId="0" borderId="0" xfId="1" applyFont="1" applyBorder="1"/>
    <xf numFmtId="0" fontId="0" fillId="0" borderId="21" xfId="0" applyBorder="1"/>
    <xf numFmtId="43" fontId="0" fillId="0" borderId="21" xfId="1" applyFont="1" applyBorder="1"/>
    <xf numFmtId="43" fontId="0" fillId="3" borderId="1" xfId="0" applyNumberFormat="1" applyFill="1" applyBorder="1"/>
    <xf numFmtId="0" fontId="2" fillId="3" borderId="1" xfId="0" applyFont="1" applyFill="1" applyBorder="1" applyAlignment="1">
      <alignment wrapText="1"/>
    </xf>
    <xf numFmtId="165" fontId="0" fillId="3" borderId="1" xfId="0" applyNumberFormat="1" applyFill="1" applyBorder="1"/>
    <xf numFmtId="164" fontId="0" fillId="0" borderId="7" xfId="0" applyNumberFormat="1" applyBorder="1"/>
    <xf numFmtId="164" fontId="0" fillId="0" borderId="9" xfId="0" applyNumberFormat="1" applyBorder="1"/>
    <xf numFmtId="43" fontId="0" fillId="0" borderId="10" xfId="1" applyFont="1" applyBorder="1"/>
    <xf numFmtId="0" fontId="2" fillId="0" borderId="38" xfId="0" applyFont="1" applyBorder="1" applyAlignment="1">
      <alignment wrapText="1"/>
    </xf>
    <xf numFmtId="0" fontId="5" fillId="0" borderId="0" xfId="0" applyFont="1"/>
    <xf numFmtId="0" fontId="7" fillId="0" borderId="0" xfId="0" applyFont="1"/>
    <xf numFmtId="164" fontId="5" fillId="0" borderId="0" xfId="0" applyNumberFormat="1" applyFont="1"/>
    <xf numFmtId="43" fontId="5" fillId="0" borderId="0" xfId="0" applyNumberFormat="1" applyFont="1"/>
    <xf numFmtId="0" fontId="5" fillId="0" borderId="0" xfId="0" applyFont="1" applyAlignment="1">
      <alignment wrapText="1"/>
    </xf>
    <xf numFmtId="9" fontId="5" fillId="0" borderId="0" xfId="0" applyNumberFormat="1" applyFont="1"/>
    <xf numFmtId="43" fontId="5" fillId="0" borderId="0" xfId="1" applyFont="1"/>
    <xf numFmtId="164" fontId="0" fillId="0" borderId="0" xfId="0" applyNumberFormat="1"/>
    <xf numFmtId="0" fontId="8" fillId="0" borderId="0" xfId="0" applyFont="1"/>
    <xf numFmtId="0" fontId="2" fillId="0" borderId="40" xfId="0" applyFont="1" applyBorder="1" applyAlignment="1">
      <alignment wrapText="1"/>
    </xf>
    <xf numFmtId="0" fontId="2" fillId="0" borderId="36" xfId="0" applyFont="1" applyBorder="1" applyAlignment="1">
      <alignment wrapText="1"/>
    </xf>
    <xf numFmtId="0" fontId="2" fillId="0" borderId="37" xfId="0" applyFont="1" applyBorder="1" applyAlignment="1">
      <alignment wrapText="1"/>
    </xf>
    <xf numFmtId="0" fontId="5" fillId="0" borderId="39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oham Wadke" id="{66FA2DF5-60D2-46F9-B9D4-8D4089133F78}" userId="S::Soham.Wadke@sudlife.in::bc67660c-75f8-4780-820b-7fc18209869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E6" dT="2025-10-23T17:35:03.41" personId="{66FA2DF5-60D2-46F9-B9D4-8D4089133F78}" id="{90240DF0-A524-4CD4-A23C-AB991CF90FFF}">
    <text>Updated</text>
  </threadedComment>
</ThreadedComment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052F-2240-4052-9706-1093EFE62F40}">
  <dimension ref="B3:N46"/>
  <sheetViews>
    <sheetView showGridLines="0" tabSelected="1" zoomScaleNormal="100" workbookViewId="0"/>
  </sheetViews>
  <sheetFormatPr defaultRowHeight="14.5" x14ac:dyDescent="0.35"/>
  <cols>
    <col min="6" max="6" width="13.81640625" bestFit="1" customWidth="1"/>
    <col min="7" max="7" width="14.90625" bestFit="1" customWidth="1"/>
    <col min="10" max="10" width="15.81640625" bestFit="1" customWidth="1"/>
    <col min="13" max="13" width="20.90625" bestFit="1" customWidth="1"/>
  </cols>
  <sheetData>
    <row r="3" spans="2:14" x14ac:dyDescent="0.35">
      <c r="B3" s="1" t="s">
        <v>0</v>
      </c>
    </row>
    <row r="4" spans="2:14" x14ac:dyDescent="0.35">
      <c r="B4" s="2" t="s">
        <v>1</v>
      </c>
      <c r="C4" s="2" t="s">
        <v>2</v>
      </c>
      <c r="F4" s="2" t="s">
        <v>3</v>
      </c>
      <c r="G4" s="2" t="s">
        <v>4</v>
      </c>
      <c r="J4" s="5" t="s">
        <v>5</v>
      </c>
      <c r="K4" s="7">
        <v>10000</v>
      </c>
      <c r="M4" s="5" t="s">
        <v>11</v>
      </c>
      <c r="N4" s="6">
        <v>0.1</v>
      </c>
    </row>
    <row r="5" spans="2:14" x14ac:dyDescent="0.35">
      <c r="B5" s="3">
        <v>18</v>
      </c>
      <c r="C5" s="3">
        <v>7.4343437499999998E-4</v>
      </c>
      <c r="F5" s="5">
        <v>1</v>
      </c>
      <c r="G5" s="6">
        <v>0.05</v>
      </c>
      <c r="J5" s="5" t="s">
        <v>6</v>
      </c>
      <c r="K5" s="7">
        <v>3000</v>
      </c>
      <c r="M5" s="5" t="s">
        <v>12</v>
      </c>
      <c r="N5" s="6">
        <v>0.06</v>
      </c>
    </row>
    <row r="6" spans="2:14" x14ac:dyDescent="0.35">
      <c r="B6" s="3">
        <v>19</v>
      </c>
      <c r="C6" s="3">
        <v>7.8314437499999996E-4</v>
      </c>
      <c r="F6" s="5">
        <f>F5+1</f>
        <v>2</v>
      </c>
      <c r="G6" s="6">
        <v>0.02</v>
      </c>
    </row>
    <row r="7" spans="2:14" x14ac:dyDescent="0.35">
      <c r="B7" s="3">
        <v>20</v>
      </c>
      <c r="C7" s="3">
        <v>8.149574999999999E-4</v>
      </c>
      <c r="F7" s="5">
        <f t="shared" ref="F7:F16" si="0">F6+1</f>
        <v>3</v>
      </c>
      <c r="G7" s="6">
        <v>0.02</v>
      </c>
    </row>
    <row r="8" spans="2:14" x14ac:dyDescent="0.35">
      <c r="B8" s="3">
        <v>21</v>
      </c>
      <c r="C8" s="3">
        <v>8.3977624999999995E-4</v>
      </c>
      <c r="F8" s="5">
        <f t="shared" si="0"/>
        <v>4</v>
      </c>
      <c r="G8" s="6">
        <v>0.02</v>
      </c>
      <c r="J8" s="2" t="s">
        <v>3</v>
      </c>
      <c r="K8" s="2" t="s">
        <v>10</v>
      </c>
    </row>
    <row r="9" spans="2:14" x14ac:dyDescent="0.35">
      <c r="B9" s="3">
        <v>22</v>
      </c>
      <c r="C9" s="3">
        <v>8.5872874999999994E-4</v>
      </c>
      <c r="F9" s="5">
        <f t="shared" si="0"/>
        <v>5</v>
      </c>
      <c r="G9" s="6">
        <v>0.02</v>
      </c>
      <c r="J9" s="5">
        <v>1</v>
      </c>
      <c r="K9" s="6">
        <v>0.1</v>
      </c>
    </row>
    <row r="10" spans="2:14" x14ac:dyDescent="0.35">
      <c r="B10" s="3">
        <v>23</v>
      </c>
      <c r="C10" s="3">
        <v>8.7271749999999991E-4</v>
      </c>
      <c r="F10" s="5">
        <f t="shared" si="0"/>
        <v>6</v>
      </c>
      <c r="G10" s="6">
        <v>0.01</v>
      </c>
      <c r="J10" s="5">
        <f>J9+1</f>
        <v>2</v>
      </c>
      <c r="K10" s="6">
        <v>0.05</v>
      </c>
    </row>
    <row r="11" spans="2:14" x14ac:dyDescent="0.35">
      <c r="B11" s="3">
        <v>24</v>
      </c>
      <c r="C11" s="3">
        <v>8.8332187499999993E-4</v>
      </c>
      <c r="F11" s="5">
        <f t="shared" si="0"/>
        <v>7</v>
      </c>
      <c r="G11" s="6">
        <v>0.01</v>
      </c>
      <c r="J11" s="5">
        <f t="shared" ref="J11:J23" si="1">J10+1</f>
        <v>3</v>
      </c>
      <c r="K11" s="6">
        <v>0.05</v>
      </c>
    </row>
    <row r="12" spans="2:14" x14ac:dyDescent="0.35">
      <c r="B12" s="3">
        <v>25</v>
      </c>
      <c r="C12" s="3">
        <v>8.92346875E-4</v>
      </c>
      <c r="F12" s="5">
        <f t="shared" si="0"/>
        <v>8</v>
      </c>
      <c r="G12" s="6">
        <v>0.01</v>
      </c>
      <c r="J12" s="5">
        <f t="shared" si="1"/>
        <v>4</v>
      </c>
      <c r="K12" s="6">
        <v>0.02</v>
      </c>
    </row>
    <row r="13" spans="2:14" x14ac:dyDescent="0.35">
      <c r="B13" s="3">
        <v>26</v>
      </c>
      <c r="C13" s="3">
        <v>9.0114625E-4</v>
      </c>
      <c r="F13" s="5">
        <f t="shared" si="0"/>
        <v>9</v>
      </c>
      <c r="G13" s="6">
        <v>0.01</v>
      </c>
      <c r="J13" s="5">
        <f t="shared" si="1"/>
        <v>5</v>
      </c>
      <c r="K13" s="6">
        <v>0.02</v>
      </c>
    </row>
    <row r="14" spans="2:14" x14ac:dyDescent="0.35">
      <c r="B14" s="3">
        <v>27</v>
      </c>
      <c r="C14" s="3">
        <v>9.1152499999999994E-4</v>
      </c>
      <c r="F14" s="5">
        <f t="shared" si="0"/>
        <v>10</v>
      </c>
      <c r="G14" s="6">
        <v>0.01</v>
      </c>
      <c r="J14" s="5">
        <f t="shared" si="1"/>
        <v>6</v>
      </c>
      <c r="K14" s="6">
        <v>0.01</v>
      </c>
    </row>
    <row r="15" spans="2:14" x14ac:dyDescent="0.35">
      <c r="B15" s="3">
        <v>28</v>
      </c>
      <c r="C15" s="3">
        <v>9.250625E-4</v>
      </c>
      <c r="F15" s="5">
        <f t="shared" si="0"/>
        <v>11</v>
      </c>
      <c r="G15" s="6">
        <v>0.01</v>
      </c>
      <c r="J15" s="5">
        <f t="shared" si="1"/>
        <v>7</v>
      </c>
      <c r="K15" s="6">
        <v>0.01</v>
      </c>
    </row>
    <row r="16" spans="2:14" x14ac:dyDescent="0.35">
      <c r="B16" s="3">
        <v>29</v>
      </c>
      <c r="C16" s="3">
        <v>9.4266124999999989E-4</v>
      </c>
      <c r="F16" s="5">
        <f t="shared" si="0"/>
        <v>12</v>
      </c>
      <c r="G16" s="6">
        <v>0.01</v>
      </c>
      <c r="J16" s="5">
        <f t="shared" si="1"/>
        <v>8</v>
      </c>
      <c r="K16" s="6">
        <v>0.01</v>
      </c>
    </row>
    <row r="17" spans="2:11" x14ac:dyDescent="0.35">
      <c r="B17" s="3">
        <v>30</v>
      </c>
      <c r="C17" s="3">
        <v>9.6522374999999979E-4</v>
      </c>
      <c r="F17" s="5">
        <f t="shared" ref="F17:F18" si="2">F16+1</f>
        <v>13</v>
      </c>
      <c r="G17" s="6">
        <v>0.01</v>
      </c>
      <c r="J17" s="5">
        <f t="shared" si="1"/>
        <v>9</v>
      </c>
      <c r="K17" s="6">
        <v>0.01</v>
      </c>
    </row>
    <row r="18" spans="2:11" x14ac:dyDescent="0.35">
      <c r="B18" s="3">
        <v>31</v>
      </c>
      <c r="C18" s="3">
        <v>9.9387812500000006E-4</v>
      </c>
      <c r="F18" s="5">
        <f t="shared" si="2"/>
        <v>14</v>
      </c>
      <c r="G18" s="6">
        <v>0.01</v>
      </c>
      <c r="J18" s="5">
        <f t="shared" si="1"/>
        <v>10</v>
      </c>
      <c r="K18" s="6">
        <v>0.01</v>
      </c>
    </row>
    <row r="19" spans="2:11" x14ac:dyDescent="0.35">
      <c r="B19" s="3">
        <v>32</v>
      </c>
      <c r="C19" s="3">
        <v>1.0299781249999999E-3</v>
      </c>
      <c r="F19" s="5">
        <f t="shared" ref="F19" si="3">F18+1</f>
        <v>15</v>
      </c>
      <c r="G19" s="6">
        <v>0.01</v>
      </c>
      <c r="J19" s="5">
        <f t="shared" si="1"/>
        <v>11</v>
      </c>
      <c r="K19" s="6">
        <v>0.01</v>
      </c>
    </row>
    <row r="20" spans="2:11" x14ac:dyDescent="0.35">
      <c r="B20" s="3">
        <v>33</v>
      </c>
      <c r="C20" s="3">
        <v>1.0744262499999999E-3</v>
      </c>
      <c r="J20" s="5">
        <f t="shared" si="1"/>
        <v>12</v>
      </c>
      <c r="K20" s="6">
        <v>0.01</v>
      </c>
    </row>
    <row r="21" spans="2:11" x14ac:dyDescent="0.35">
      <c r="B21" s="3">
        <v>34</v>
      </c>
      <c r="C21" s="3">
        <v>1.1278993749999997E-3</v>
      </c>
      <c r="J21" s="5">
        <f t="shared" si="1"/>
        <v>13</v>
      </c>
      <c r="K21" s="6">
        <v>0.01</v>
      </c>
    </row>
    <row r="22" spans="2:11" x14ac:dyDescent="0.35">
      <c r="B22" s="3">
        <v>35</v>
      </c>
      <c r="C22" s="3">
        <v>1.1913E-3</v>
      </c>
      <c r="F22" s="5" t="s">
        <v>7</v>
      </c>
      <c r="G22" s="13">
        <v>5.0000000000000001E-3</v>
      </c>
      <c r="J22" s="5">
        <f t="shared" si="1"/>
        <v>14</v>
      </c>
      <c r="K22" s="6">
        <v>0.01</v>
      </c>
    </row>
    <row r="23" spans="2:11" x14ac:dyDescent="0.35">
      <c r="B23" s="3">
        <v>36</v>
      </c>
      <c r="C23" s="3">
        <v>1.2655306249999998E-3</v>
      </c>
      <c r="F23" s="5" t="s">
        <v>8</v>
      </c>
      <c r="G23" s="9">
        <v>1000</v>
      </c>
      <c r="J23" s="5">
        <f t="shared" si="1"/>
        <v>15</v>
      </c>
      <c r="K23" s="6">
        <v>0.01</v>
      </c>
    </row>
    <row r="24" spans="2:11" ht="43.5" x14ac:dyDescent="0.35">
      <c r="B24" s="3">
        <v>37</v>
      </c>
      <c r="C24" s="3">
        <v>1.3517193749999999E-3</v>
      </c>
      <c r="F24" s="8" t="s">
        <v>9</v>
      </c>
      <c r="G24" s="13">
        <v>5.0000000000000001E-3</v>
      </c>
    </row>
    <row r="25" spans="2:11" x14ac:dyDescent="0.35">
      <c r="B25" s="3">
        <v>38</v>
      </c>
      <c r="C25" s="3">
        <v>1.45122E-3</v>
      </c>
    </row>
    <row r="26" spans="2:11" x14ac:dyDescent="0.35">
      <c r="B26" s="3">
        <v>39</v>
      </c>
      <c r="C26" s="3">
        <v>1.5656118749999997E-3</v>
      </c>
    </row>
    <row r="27" spans="2:11" x14ac:dyDescent="0.35">
      <c r="B27" s="3">
        <v>40</v>
      </c>
      <c r="C27" s="3">
        <v>1.6973768749999998E-3</v>
      </c>
      <c r="F27" t="s">
        <v>38</v>
      </c>
      <c r="G27" s="4">
        <v>0.13</v>
      </c>
    </row>
    <row r="28" spans="2:11" x14ac:dyDescent="0.35">
      <c r="B28" s="3">
        <v>41</v>
      </c>
      <c r="C28" s="3">
        <v>1.8496737499999999E-3</v>
      </c>
    </row>
    <row r="29" spans="2:11" x14ac:dyDescent="0.35">
      <c r="B29" s="3">
        <v>42</v>
      </c>
      <c r="C29" s="3">
        <v>2.0258868749999997E-3</v>
      </c>
    </row>
    <row r="30" spans="2:11" x14ac:dyDescent="0.35">
      <c r="B30" s="3">
        <v>43</v>
      </c>
      <c r="C30" s="3">
        <v>2.2300774999999998E-3</v>
      </c>
    </row>
    <row r="31" spans="2:11" x14ac:dyDescent="0.35">
      <c r="B31" s="3">
        <v>44</v>
      </c>
      <c r="C31" s="3">
        <v>2.4665324999999997E-3</v>
      </c>
    </row>
    <row r="32" spans="2:11" x14ac:dyDescent="0.35">
      <c r="B32" s="3">
        <v>45</v>
      </c>
      <c r="C32" s="3">
        <v>2.7393131249999997E-3</v>
      </c>
    </row>
    <row r="33" spans="2:3" x14ac:dyDescent="0.35">
      <c r="B33" s="3">
        <v>46</v>
      </c>
      <c r="C33" s="3">
        <v>3.0520293749999997E-3</v>
      </c>
    </row>
    <row r="34" spans="2:3" x14ac:dyDescent="0.35">
      <c r="B34" s="3">
        <v>47</v>
      </c>
      <c r="C34" s="3">
        <v>3.4064862499999997E-3</v>
      </c>
    </row>
    <row r="35" spans="2:3" x14ac:dyDescent="0.35">
      <c r="B35" s="3">
        <v>48</v>
      </c>
      <c r="C35" s="3">
        <v>3.8022324999999989E-3</v>
      </c>
    </row>
    <row r="36" spans="2:3" x14ac:dyDescent="0.35">
      <c r="B36" s="3">
        <v>49</v>
      </c>
      <c r="C36" s="3">
        <v>4.2367862500000001E-3</v>
      </c>
    </row>
    <row r="37" spans="2:3" x14ac:dyDescent="0.35">
      <c r="B37" s="3">
        <v>50</v>
      </c>
      <c r="C37" s="3">
        <v>4.7058606249999997E-3</v>
      </c>
    </row>
    <row r="38" spans="2:3" x14ac:dyDescent="0.35">
      <c r="B38" s="3">
        <v>51</v>
      </c>
      <c r="C38" s="3">
        <v>5.2044918749999999E-3</v>
      </c>
    </row>
    <row r="39" spans="2:3" x14ac:dyDescent="0.35">
      <c r="B39" s="3">
        <v>52</v>
      </c>
      <c r="C39" s="3">
        <v>5.7277162499999989E-3</v>
      </c>
    </row>
    <row r="40" spans="2:3" x14ac:dyDescent="0.35">
      <c r="B40" s="3">
        <v>53</v>
      </c>
      <c r="C40" s="3">
        <v>6.2714724999999999E-3</v>
      </c>
    </row>
    <row r="41" spans="2:3" x14ac:dyDescent="0.35">
      <c r="B41" s="3">
        <v>54</v>
      </c>
      <c r="C41" s="3">
        <v>6.8335043749999996E-3</v>
      </c>
    </row>
    <row r="42" spans="2:3" x14ac:dyDescent="0.35">
      <c r="B42" s="3">
        <v>55</v>
      </c>
      <c r="C42" s="3">
        <v>7.4142631249999999E-3</v>
      </c>
    </row>
    <row r="43" spans="2:3" x14ac:dyDescent="0.35">
      <c r="B43" s="3">
        <v>56</v>
      </c>
      <c r="C43" s="3">
        <v>8.0175843749999993E-3</v>
      </c>
    </row>
    <row r="44" spans="2:3" x14ac:dyDescent="0.35">
      <c r="B44" s="3">
        <v>57</v>
      </c>
      <c r="C44" s="3">
        <v>8.6497856249999998E-3</v>
      </c>
    </row>
    <row r="45" spans="2:3" x14ac:dyDescent="0.35">
      <c r="B45" s="3">
        <v>58</v>
      </c>
      <c r="C45" s="3">
        <v>9.319440624999998E-3</v>
      </c>
    </row>
    <row r="46" spans="2:3" x14ac:dyDescent="0.35">
      <c r="B46" s="3">
        <v>59</v>
      </c>
      <c r="C46" s="3">
        <v>1.0036928124999997E-2</v>
      </c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6244-2691-4F7F-8FE1-11ABDF367C17}">
  <dimension ref="A1:U29"/>
  <sheetViews>
    <sheetView showGridLines="0" zoomScaleNormal="100" workbookViewId="0"/>
  </sheetViews>
  <sheetFormatPr defaultRowHeight="14.5" x14ac:dyDescent="0.35"/>
  <cols>
    <col min="1" max="1" width="12.1796875" bestFit="1" customWidth="1"/>
    <col min="3" max="3" width="17.1796875" bestFit="1" customWidth="1"/>
    <col min="4" max="4" width="15.54296875" bestFit="1" customWidth="1"/>
    <col min="5" max="5" width="14.54296875" bestFit="1" customWidth="1"/>
    <col min="6" max="6" width="14.453125" bestFit="1" customWidth="1"/>
    <col min="7" max="7" width="16.36328125" bestFit="1" customWidth="1"/>
    <col min="8" max="8" width="15" bestFit="1" customWidth="1"/>
    <col min="9" max="9" width="12.90625" customWidth="1"/>
    <col min="10" max="10" width="16.36328125" bestFit="1" customWidth="1"/>
    <col min="11" max="11" width="15.453125" bestFit="1" customWidth="1"/>
    <col min="12" max="12" width="15.1796875" bestFit="1" customWidth="1"/>
    <col min="13" max="13" width="14.90625" bestFit="1" customWidth="1"/>
    <col min="14" max="14" width="11.08984375" customWidth="1"/>
    <col min="15" max="15" width="13.90625" bestFit="1" customWidth="1"/>
    <col min="16" max="16" width="16.453125" bestFit="1" customWidth="1"/>
    <col min="17" max="17" width="17.1796875" bestFit="1" customWidth="1"/>
    <col min="18" max="18" width="23.81640625" customWidth="1"/>
    <col min="19" max="19" width="14" bestFit="1" customWidth="1"/>
    <col min="20" max="20" width="11.81640625" customWidth="1"/>
    <col min="21" max="21" width="17.36328125" bestFit="1" customWidth="1"/>
  </cols>
  <sheetData>
    <row r="1" spans="1:21" x14ac:dyDescent="0.35">
      <c r="A1" s="2" t="s">
        <v>76</v>
      </c>
      <c r="B1" s="68">
        <v>0.12</v>
      </c>
      <c r="R1" s="103"/>
    </row>
    <row r="2" spans="1:21" x14ac:dyDescent="0.35">
      <c r="G2" s="69" t="s">
        <v>81</v>
      </c>
      <c r="H2" s="70">
        <f>SUM(U6:U25)</f>
        <v>340247600.82339299</v>
      </c>
      <c r="I2" s="96"/>
    </row>
    <row r="4" spans="1:21" ht="26" customHeight="1" thickBot="1" x14ac:dyDescent="0.4">
      <c r="R4" s="96"/>
      <c r="S4" s="96"/>
      <c r="T4" s="96"/>
      <c r="U4" s="96"/>
    </row>
    <row r="5" spans="1:21" ht="44" thickBot="1" x14ac:dyDescent="0.4">
      <c r="B5" s="52" t="s">
        <v>55</v>
      </c>
      <c r="C5" s="53" t="s">
        <v>63</v>
      </c>
      <c r="D5" s="54" t="s">
        <v>64</v>
      </c>
      <c r="E5" s="54" t="s">
        <v>56</v>
      </c>
      <c r="F5" s="55" t="s">
        <v>58</v>
      </c>
      <c r="G5" s="56" t="s">
        <v>67</v>
      </c>
      <c r="H5" s="57" t="s">
        <v>68</v>
      </c>
      <c r="I5" s="57" t="s">
        <v>59</v>
      </c>
      <c r="J5" s="58" t="s">
        <v>69</v>
      </c>
      <c r="K5" s="56" t="s">
        <v>65</v>
      </c>
      <c r="L5" s="57" t="s">
        <v>66</v>
      </c>
      <c r="M5" s="57" t="s">
        <v>70</v>
      </c>
      <c r="N5" s="57" t="s">
        <v>72</v>
      </c>
      <c r="O5" s="47" t="s">
        <v>73</v>
      </c>
      <c r="P5" s="63" t="s">
        <v>74</v>
      </c>
      <c r="Q5" s="64" t="s">
        <v>75</v>
      </c>
      <c r="R5" s="10" t="s">
        <v>79</v>
      </c>
      <c r="S5" s="10" t="s">
        <v>78</v>
      </c>
      <c r="T5" s="10" t="s">
        <v>77</v>
      </c>
      <c r="U5" s="10" t="s">
        <v>80</v>
      </c>
    </row>
    <row r="6" spans="1:21" x14ac:dyDescent="0.35">
      <c r="B6" s="48">
        <v>1</v>
      </c>
      <c r="C6" s="49">
        <f>-'Q.2.Input'!C3</f>
        <v>-1000000000</v>
      </c>
      <c r="D6" s="50">
        <f>-'Q.2.Input'!C4</f>
        <v>-200000000</v>
      </c>
      <c r="E6" s="50">
        <f>-'Q.2.Input'!G4</f>
        <v>-10000000</v>
      </c>
      <c r="F6" s="51">
        <f>-'Q.2.Input'!H4</f>
        <v>-5000000</v>
      </c>
      <c r="G6" s="49">
        <v>0</v>
      </c>
      <c r="H6" s="50">
        <f>'Q.2.Input'!I4</f>
        <v>100000000</v>
      </c>
      <c r="I6" s="50">
        <f>'Q.2.Input'!J4</f>
        <v>4900000</v>
      </c>
      <c r="J6" s="51">
        <f>G6+H6-I6</f>
        <v>95100000</v>
      </c>
      <c r="K6" s="49">
        <f>-SUM(G6:H6)*'Q.2.Input'!L4</f>
        <v>-6730000</v>
      </c>
      <c r="L6" s="50">
        <f>SUM(G6:H6)*80%*('Q.2.Input'!L4+2%)</f>
        <v>6984000</v>
      </c>
      <c r="M6" s="50">
        <f>'Q.2.Input'!$C$8*'Q.2.Input'!K4</f>
        <v>25000000</v>
      </c>
      <c r="N6" s="50">
        <f>'Q.2.Input'!$C$9*I6</f>
        <v>24500</v>
      </c>
      <c r="O6" s="7">
        <f>'Q.2.Input'!$C$3*'Q.2.Input'!$C$7</f>
        <v>30000000</v>
      </c>
      <c r="P6" s="60">
        <v>0</v>
      </c>
      <c r="Q6" s="65">
        <f>SUM(C6:F6,K6:P6)</f>
        <v>-1159721500</v>
      </c>
      <c r="R6" s="37">
        <f>SUM(C6:F6)</f>
        <v>-1215000000</v>
      </c>
      <c r="S6" s="37">
        <f>SUM(K6:P6)</f>
        <v>55278500</v>
      </c>
      <c r="T6" s="5">
        <f t="shared" ref="T6:T26" si="0">(1+$B$1)^-(B6-1)</f>
        <v>1</v>
      </c>
      <c r="U6" s="14">
        <f>R6*T6+S6*T7</f>
        <v>-1165644196.4285715</v>
      </c>
    </row>
    <row r="7" spans="1:21" x14ac:dyDescent="0.35">
      <c r="B7" s="45">
        <f>B6+1</f>
        <v>2</v>
      </c>
      <c r="C7" s="29">
        <v>0</v>
      </c>
      <c r="D7" s="7">
        <v>0</v>
      </c>
      <c r="E7" s="7">
        <f>-'Q.2.Input'!G5</f>
        <v>-10500000</v>
      </c>
      <c r="F7" s="30">
        <f>-'Q.2.Input'!H5</f>
        <v>-5225000</v>
      </c>
      <c r="G7" s="29">
        <f>J6</f>
        <v>95100000</v>
      </c>
      <c r="H7" s="7">
        <f>'Q.2.Input'!I5</f>
        <v>105500000</v>
      </c>
      <c r="I7" s="7">
        <f>'Q.2.Input'!J5</f>
        <v>3200000</v>
      </c>
      <c r="J7" s="30">
        <f>G7+H7-I7</f>
        <v>197400000</v>
      </c>
      <c r="K7" s="29">
        <f>-SUM(G7:H7)*'Q.2.Input'!L5</f>
        <v>-14423140.000000002</v>
      </c>
      <c r="L7" s="7">
        <f>SUM(G7:H7)*80%*('Q.2.Input'!L5+2%)</f>
        <v>14748112.000000002</v>
      </c>
      <c r="M7" s="7">
        <f>'Q.2.Input'!$C$8*'Q.2.Input'!K5</f>
        <v>51000000</v>
      </c>
      <c r="N7" s="7">
        <f>'Q.2.Input'!$C$9*I7</f>
        <v>16000</v>
      </c>
      <c r="O7" s="7">
        <f>'Q.2.Input'!$C$3*'Q.2.Input'!$C$7</f>
        <v>30000000</v>
      </c>
      <c r="P7" s="61">
        <v>0</v>
      </c>
      <c r="Q7" s="41">
        <f t="shared" ref="Q7:Q25" si="1">SUM(C7:F7,K7:P7)</f>
        <v>65615972</v>
      </c>
      <c r="R7" s="37">
        <f t="shared" ref="R7:R25" si="2">SUM(C7:F7)</f>
        <v>-15725000</v>
      </c>
      <c r="S7" s="37">
        <f t="shared" ref="S7:S25" si="3">SUM(K7:P7)</f>
        <v>81340972</v>
      </c>
      <c r="T7" s="5">
        <f t="shared" si="0"/>
        <v>0.89285714285714279</v>
      </c>
      <c r="U7" s="14">
        <f t="shared" ref="U7:U25" si="4">R7*T7+S7*T8</f>
        <v>50804346.301020399</v>
      </c>
    </row>
    <row r="8" spans="1:21" x14ac:dyDescent="0.35">
      <c r="B8" s="45">
        <f t="shared" ref="B8:B26" si="5">B7+1</f>
        <v>3</v>
      </c>
      <c r="C8" s="29">
        <v>0</v>
      </c>
      <c r="D8" s="7">
        <v>0</v>
      </c>
      <c r="E8" s="7">
        <f>-'Q.2.Input'!G6</f>
        <v>-11025000</v>
      </c>
      <c r="F8" s="30">
        <f>-'Q.2.Input'!H6</f>
        <v>-5460125</v>
      </c>
      <c r="G8" s="29">
        <f t="shared" ref="G8:G25" si="6">J7</f>
        <v>197400000</v>
      </c>
      <c r="H8" s="7">
        <f>'Q.2.Input'!I6</f>
        <v>111302500</v>
      </c>
      <c r="I8" s="7">
        <f>'Q.2.Input'!J6</f>
        <v>3500000</v>
      </c>
      <c r="J8" s="30">
        <f t="shared" ref="J8:J25" si="7">G8+H8-I8</f>
        <v>305202500</v>
      </c>
      <c r="K8" s="29">
        <f>-SUM(G8:H8)*'Q.2.Input'!L6</f>
        <v>-18861722.75</v>
      </c>
      <c r="L8" s="7">
        <f>SUM(G8:H8)*80%*('Q.2.Input'!L6+2%)</f>
        <v>20028618.200000003</v>
      </c>
      <c r="M8" s="7">
        <f>'Q.2.Input'!$C$8*'Q.2.Input'!K6</f>
        <v>77000000</v>
      </c>
      <c r="N8" s="7">
        <f>'Q.2.Input'!$C$9*I8</f>
        <v>17500</v>
      </c>
      <c r="O8" s="7">
        <f>'Q.2.Input'!$C$3*'Q.2.Input'!$C$7</f>
        <v>30000000</v>
      </c>
      <c r="P8" s="61">
        <v>0</v>
      </c>
      <c r="Q8" s="41">
        <f t="shared" si="1"/>
        <v>91699270.450000003</v>
      </c>
      <c r="R8" s="37">
        <f t="shared" si="2"/>
        <v>-16485125</v>
      </c>
      <c r="S8" s="37">
        <f t="shared" si="3"/>
        <v>108184395.45</v>
      </c>
      <c r="T8" s="5">
        <f t="shared" si="0"/>
        <v>0.79719387755102034</v>
      </c>
      <c r="U8" s="14">
        <f t="shared" si="4"/>
        <v>63861675.082281783</v>
      </c>
    </row>
    <row r="9" spans="1:21" x14ac:dyDescent="0.35">
      <c r="B9" s="45">
        <f t="shared" si="5"/>
        <v>4</v>
      </c>
      <c r="C9" s="29">
        <v>0</v>
      </c>
      <c r="D9" s="7">
        <v>0</v>
      </c>
      <c r="E9" s="7">
        <f>-'Q.2.Input'!G7</f>
        <v>-11576250</v>
      </c>
      <c r="F9" s="30">
        <f>-'Q.2.Input'!H7</f>
        <v>-5705830.625</v>
      </c>
      <c r="G9" s="29">
        <f t="shared" si="6"/>
        <v>305202500</v>
      </c>
      <c r="H9" s="7">
        <f>'Q.2.Input'!I7</f>
        <v>117424137.5</v>
      </c>
      <c r="I9" s="7">
        <f>'Q.2.Input'!J7</f>
        <v>5300000</v>
      </c>
      <c r="J9" s="30">
        <f t="shared" si="7"/>
        <v>417326637.5</v>
      </c>
      <c r="K9" s="29">
        <f>-SUM(G9:H9)*'Q.2.Input'!L7</f>
        <v>-29668389.952500001</v>
      </c>
      <c r="L9" s="7">
        <f>SUM(G9:H9)*80%*('Q.2.Input'!L7+2%)</f>
        <v>30496738.162</v>
      </c>
      <c r="M9" s="7">
        <f>'Q.2.Input'!$C$8*'Q.2.Input'!K7</f>
        <v>103000000</v>
      </c>
      <c r="N9" s="7">
        <f>'Q.2.Input'!$C$9*I9</f>
        <v>26500</v>
      </c>
      <c r="O9" s="7">
        <f>'Q.2.Input'!$C$3*'Q.2.Input'!$C$7</f>
        <v>30000000</v>
      </c>
      <c r="P9" s="61">
        <v>0</v>
      </c>
      <c r="Q9" s="41">
        <f t="shared" si="1"/>
        <v>116572767.5845</v>
      </c>
      <c r="R9" s="37">
        <f t="shared" si="2"/>
        <v>-17282080.625</v>
      </c>
      <c r="S9" s="37">
        <f t="shared" si="3"/>
        <v>133854848.2095</v>
      </c>
      <c r="T9" s="5">
        <f t="shared" si="0"/>
        <v>0.71178024781341087</v>
      </c>
      <c r="U9" s="14">
        <f t="shared" si="4"/>
        <v>72766132.289277956</v>
      </c>
    </row>
    <row r="10" spans="1:21" x14ac:dyDescent="0.35">
      <c r="B10" s="45">
        <f t="shared" si="5"/>
        <v>5</v>
      </c>
      <c r="C10" s="29">
        <v>0</v>
      </c>
      <c r="D10" s="7">
        <v>0</v>
      </c>
      <c r="E10" s="7">
        <f>-'Q.2.Input'!G8</f>
        <v>-12155062.5</v>
      </c>
      <c r="F10" s="30">
        <f>-'Q.2.Input'!H8</f>
        <v>-5962593.0031249998</v>
      </c>
      <c r="G10" s="29">
        <f t="shared" si="6"/>
        <v>417326637.5</v>
      </c>
      <c r="H10" s="7">
        <f>'Q.2.Input'!I8</f>
        <v>123882465.0625</v>
      </c>
      <c r="I10" s="7">
        <f>'Q.2.Input'!J8</f>
        <v>3100000</v>
      </c>
      <c r="J10" s="30">
        <f t="shared" si="7"/>
        <v>538109102.5625</v>
      </c>
      <c r="K10" s="29">
        <f>-SUM(G10:H10)*'Q.2.Input'!L8</f>
        <v>-35286833.487074994</v>
      </c>
      <c r="L10" s="7">
        <f>SUM(G10:H10)*80%*('Q.2.Input'!L8+2%)</f>
        <v>36888812.430660002</v>
      </c>
      <c r="M10" s="7">
        <f>'Q.2.Input'!$C$8*'Q.2.Input'!K8</f>
        <v>129000000</v>
      </c>
      <c r="N10" s="7">
        <f>'Q.2.Input'!$C$9*I10</f>
        <v>15500</v>
      </c>
      <c r="O10" s="7">
        <f>'Q.2.Input'!$C$3*'Q.2.Input'!$C$7</f>
        <v>30000000</v>
      </c>
      <c r="P10" s="61">
        <v>0</v>
      </c>
      <c r="Q10" s="41">
        <f t="shared" si="1"/>
        <v>142499823.44046</v>
      </c>
      <c r="R10" s="37">
        <f t="shared" si="2"/>
        <v>-18117655.503125001</v>
      </c>
      <c r="S10" s="37">
        <f t="shared" si="3"/>
        <v>160617478.94358501</v>
      </c>
      <c r="T10" s="5">
        <f t="shared" si="0"/>
        <v>0.63551807840483121</v>
      </c>
      <c r="U10" s="14">
        <f t="shared" si="4"/>
        <v>79624573.439860046</v>
      </c>
    </row>
    <row r="11" spans="1:21" x14ac:dyDescent="0.35">
      <c r="B11" s="45">
        <f t="shared" si="5"/>
        <v>6</v>
      </c>
      <c r="C11" s="29">
        <v>0</v>
      </c>
      <c r="D11" s="7">
        <v>0</v>
      </c>
      <c r="E11" s="7">
        <f>-'Q.2.Input'!G9</f>
        <v>-12762815.625</v>
      </c>
      <c r="F11" s="30">
        <f>-'Q.2.Input'!H9</f>
        <v>-6230909.6882656245</v>
      </c>
      <c r="G11" s="29">
        <f t="shared" si="6"/>
        <v>538109102.5625</v>
      </c>
      <c r="H11" s="7">
        <f>'Q.2.Input'!I9</f>
        <v>130696000.64093749</v>
      </c>
      <c r="I11" s="7">
        <f>'Q.2.Input'!J9</f>
        <v>4800000</v>
      </c>
      <c r="J11" s="30">
        <f t="shared" si="7"/>
        <v>664005103.20343745</v>
      </c>
      <c r="K11" s="29">
        <f>-SUM(G11:H11)*'Q.2.Input'!L9</f>
        <v>-49224055.595772997</v>
      </c>
      <c r="L11" s="7">
        <f>SUM(G11:H11)*80%*('Q.2.Input'!L9+2%)</f>
        <v>50080126.127873398</v>
      </c>
      <c r="M11" s="7">
        <f>'Q.2.Input'!$C$8*'Q.2.Input'!K9</f>
        <v>155000000</v>
      </c>
      <c r="N11" s="7">
        <f>'Q.2.Input'!$C$9*I11</f>
        <v>24000</v>
      </c>
      <c r="O11" s="7">
        <f>'Q.2.Input'!$C$3*'Q.2.Input'!$C$7</f>
        <v>30000000</v>
      </c>
      <c r="P11" s="61">
        <v>0</v>
      </c>
      <c r="Q11" s="41">
        <f t="shared" si="1"/>
        <v>166886345.21883479</v>
      </c>
      <c r="R11" s="37">
        <f t="shared" si="2"/>
        <v>-18993725.313265625</v>
      </c>
      <c r="S11" s="37">
        <f t="shared" si="3"/>
        <v>185880070.53210041</v>
      </c>
      <c r="T11" s="5">
        <f t="shared" si="0"/>
        <v>0.56742685571859919</v>
      </c>
      <c r="U11" s="14">
        <f t="shared" si="4"/>
        <v>83395078.705308393</v>
      </c>
    </row>
    <row r="12" spans="1:21" x14ac:dyDescent="0.35">
      <c r="B12" s="45">
        <f t="shared" si="5"/>
        <v>7</v>
      </c>
      <c r="C12" s="29">
        <v>0</v>
      </c>
      <c r="D12" s="7">
        <v>0</v>
      </c>
      <c r="E12" s="7">
        <f>-'Q.2.Input'!G10</f>
        <v>-13400956.40625</v>
      </c>
      <c r="F12" s="30">
        <f>-'Q.2.Input'!H10</f>
        <v>-6511300.6242375774</v>
      </c>
      <c r="G12" s="29">
        <f t="shared" si="6"/>
        <v>664005103.20343745</v>
      </c>
      <c r="H12" s="7">
        <f>'Q.2.Input'!I10</f>
        <v>137884280.67618904</v>
      </c>
      <c r="I12" s="7">
        <f>'Q.2.Input'!J10</f>
        <v>4400000</v>
      </c>
      <c r="J12" s="30">
        <f t="shared" si="7"/>
        <v>797489383.87962651</v>
      </c>
      <c r="K12" s="29">
        <f>-SUM(G12:H12)*'Q.2.Input'!L10</f>
        <v>-63349261.326490492</v>
      </c>
      <c r="L12" s="7">
        <f>SUM(G12:H12)*80%*('Q.2.Input'!L10+2%)</f>
        <v>63509639.203266427</v>
      </c>
      <c r="M12" s="7">
        <f>'Q.2.Input'!$C$8*'Q.2.Input'!K10</f>
        <v>181000000</v>
      </c>
      <c r="N12" s="7">
        <f>'Q.2.Input'!$C$9*I12</f>
        <v>22000</v>
      </c>
      <c r="O12" s="7">
        <f>'Q.2.Input'!$C$3*'Q.2.Input'!$C$7</f>
        <v>30000000</v>
      </c>
      <c r="P12" s="61">
        <v>0</v>
      </c>
      <c r="Q12" s="41">
        <f t="shared" si="1"/>
        <v>191270120.84628835</v>
      </c>
      <c r="R12" s="37">
        <f t="shared" si="2"/>
        <v>-19912257.030487578</v>
      </c>
      <c r="S12" s="37">
        <f t="shared" si="3"/>
        <v>211182377.87677592</v>
      </c>
      <c r="T12" s="5">
        <f t="shared" si="0"/>
        <v>0.50663112117732068</v>
      </c>
      <c r="U12" s="14">
        <f t="shared" si="4"/>
        <v>85440013.821012005</v>
      </c>
    </row>
    <row r="13" spans="1:21" x14ac:dyDescent="0.35">
      <c r="B13" s="45">
        <f t="shared" si="5"/>
        <v>8</v>
      </c>
      <c r="C13" s="29">
        <v>0</v>
      </c>
      <c r="D13" s="7">
        <v>0</v>
      </c>
      <c r="E13" s="7">
        <f>-'Q.2.Input'!G11</f>
        <v>-14071004.2265625</v>
      </c>
      <c r="F13" s="30">
        <f>-'Q.2.Input'!H11</f>
        <v>-6804309.1523282677</v>
      </c>
      <c r="G13" s="29">
        <f t="shared" si="6"/>
        <v>797489383.87962651</v>
      </c>
      <c r="H13" s="7">
        <f>'Q.2.Input'!I11</f>
        <v>145467916.11337942</v>
      </c>
      <c r="I13" s="7">
        <f>'Q.2.Input'!J11</f>
        <v>6100000</v>
      </c>
      <c r="J13" s="30">
        <f t="shared" si="7"/>
        <v>936857299.99300599</v>
      </c>
      <c r="K13" s="29">
        <f>-SUM(G13:H13)*'Q.2.Input'!L11</f>
        <v>-65535532.349513926</v>
      </c>
      <c r="L13" s="7">
        <f>SUM(G13:H13)*80%*('Q.2.Input'!L11+2%)</f>
        <v>67515742.679499239</v>
      </c>
      <c r="M13" s="7">
        <f>'Q.2.Input'!$C$8*'Q.2.Input'!K11</f>
        <v>207000000</v>
      </c>
      <c r="N13" s="7">
        <f>'Q.2.Input'!$C$9*I13</f>
        <v>30500</v>
      </c>
      <c r="O13" s="7">
        <f>'Q.2.Input'!$C$3*'Q.2.Input'!$C$7</f>
        <v>30000000</v>
      </c>
      <c r="P13" s="61">
        <v>0</v>
      </c>
      <c r="Q13" s="41">
        <f t="shared" si="1"/>
        <v>218135396.95109454</v>
      </c>
      <c r="R13" s="37">
        <f t="shared" si="2"/>
        <v>-20875313.378890768</v>
      </c>
      <c r="S13" s="37">
        <f t="shared" si="3"/>
        <v>239010710.32998532</v>
      </c>
      <c r="T13" s="5">
        <f t="shared" si="0"/>
        <v>0.45234921533689343</v>
      </c>
      <c r="U13" s="14">
        <f t="shared" si="4"/>
        <v>87089485.58286342</v>
      </c>
    </row>
    <row r="14" spans="1:21" x14ac:dyDescent="0.35">
      <c r="B14" s="45">
        <f t="shared" si="5"/>
        <v>9</v>
      </c>
      <c r="C14" s="29">
        <v>0</v>
      </c>
      <c r="D14" s="7">
        <v>0</v>
      </c>
      <c r="E14" s="7">
        <f>-'Q.2.Input'!G12</f>
        <v>-14774554.437890626</v>
      </c>
      <c r="F14" s="30">
        <f>-'Q.2.Input'!H12</f>
        <v>-7110503.0641830396</v>
      </c>
      <c r="G14" s="29">
        <f t="shared" si="6"/>
        <v>936857299.99300599</v>
      </c>
      <c r="H14" s="7">
        <f>'Q.2.Input'!I12</f>
        <v>153468651.49961528</v>
      </c>
      <c r="I14" s="7">
        <f>'Q.2.Input'!J12</f>
        <v>5500000</v>
      </c>
      <c r="J14" s="30">
        <f t="shared" si="7"/>
        <v>1084825951.4926212</v>
      </c>
      <c r="K14" s="29">
        <f>-SUM(G14:H14)*'Q.2.Input'!L12</f>
        <v>-74469262.486946031</v>
      </c>
      <c r="L14" s="7">
        <f>SUM(G14:H14)*80%*('Q.2.Input'!L12+2%)</f>
        <v>77020625.213438779</v>
      </c>
      <c r="M14" s="7">
        <f>'Q.2.Input'!$C$8*'Q.2.Input'!K12</f>
        <v>233000000</v>
      </c>
      <c r="N14" s="7">
        <f>'Q.2.Input'!$C$9*I14</f>
        <v>27500</v>
      </c>
      <c r="O14" s="7">
        <f>'Q.2.Input'!$C$3*'Q.2.Input'!$C$7</f>
        <v>30000000</v>
      </c>
      <c r="P14" s="61">
        <v>0</v>
      </c>
      <c r="Q14" s="41">
        <f t="shared" si="1"/>
        <v>243693805.22441909</v>
      </c>
      <c r="R14" s="37">
        <f t="shared" si="2"/>
        <v>-21885057.502073668</v>
      </c>
      <c r="S14" s="37">
        <f t="shared" si="3"/>
        <v>265578862.72649276</v>
      </c>
      <c r="T14" s="5">
        <f t="shared" si="0"/>
        <v>0.4038832279793691</v>
      </c>
      <c r="U14" s="14">
        <f t="shared" si="4"/>
        <v>86931392.653928429</v>
      </c>
    </row>
    <row r="15" spans="1:21" x14ac:dyDescent="0.35">
      <c r="B15" s="45">
        <f t="shared" si="5"/>
        <v>10</v>
      </c>
      <c r="C15" s="29">
        <v>0</v>
      </c>
      <c r="D15" s="7">
        <v>0</v>
      </c>
      <c r="E15" s="7">
        <f>-'Q.2.Input'!G13</f>
        <v>-15513282.159785159</v>
      </c>
      <c r="F15" s="30">
        <f>-'Q.2.Input'!H13</f>
        <v>-7430475.7020712756</v>
      </c>
      <c r="G15" s="29">
        <f t="shared" si="6"/>
        <v>1084825951.4926212</v>
      </c>
      <c r="H15" s="7">
        <f>'Q.2.Input'!I13</f>
        <v>161909427.3320941</v>
      </c>
      <c r="I15" s="7">
        <f>'Q.2.Input'!J13</f>
        <v>4700000</v>
      </c>
      <c r="J15" s="30">
        <f t="shared" si="7"/>
        <v>1242035378.8247154</v>
      </c>
      <c r="K15" s="29">
        <f>-SUM(G15:H15)*'Q.2.Input'!L13</f>
        <v>-84154638.070668295</v>
      </c>
      <c r="L15" s="7">
        <f>SUM(G15:H15)*80%*('Q.2.Input'!L13+2%)</f>
        <v>87271476.517730087</v>
      </c>
      <c r="M15" s="7">
        <f>'Q.2.Input'!$C$8*'Q.2.Input'!K13</f>
        <v>259000000</v>
      </c>
      <c r="N15" s="7">
        <f>'Q.2.Input'!$C$9*I15</f>
        <v>23500</v>
      </c>
      <c r="O15" s="7">
        <f>'Q.2.Input'!$C$3*'Q.2.Input'!$C$7</f>
        <v>30000000</v>
      </c>
      <c r="P15" s="61">
        <v>0</v>
      </c>
      <c r="Q15" s="41">
        <f t="shared" si="1"/>
        <v>269196580.58520538</v>
      </c>
      <c r="R15" s="37">
        <f t="shared" si="2"/>
        <v>-22943757.861856434</v>
      </c>
      <c r="S15" s="37">
        <f t="shared" si="3"/>
        <v>292140338.44706178</v>
      </c>
      <c r="T15" s="5">
        <f t="shared" si="0"/>
        <v>0.36061002498157957</v>
      </c>
      <c r="U15" s="14">
        <f t="shared" si="4"/>
        <v>85787621.212766469</v>
      </c>
    </row>
    <row r="16" spans="1:21" x14ac:dyDescent="0.35">
      <c r="B16" s="45">
        <f t="shared" si="5"/>
        <v>11</v>
      </c>
      <c r="C16" s="29">
        <v>0</v>
      </c>
      <c r="D16" s="7">
        <v>0</v>
      </c>
      <c r="E16" s="7">
        <f>-'Q.2.Input'!G14</f>
        <v>-16288946.267774418</v>
      </c>
      <c r="F16" s="30">
        <f>-'Q.2.Input'!H14</f>
        <v>-7764847.1086644828</v>
      </c>
      <c r="G16" s="29">
        <f t="shared" si="6"/>
        <v>1242035378.8247154</v>
      </c>
      <c r="H16" s="7">
        <f>'Q.2.Input'!I14</f>
        <v>170814445.83535928</v>
      </c>
      <c r="I16" s="7">
        <f>'Q.2.Input'!J14</f>
        <v>6300000</v>
      </c>
      <c r="J16" s="30">
        <f t="shared" si="7"/>
        <v>1406549824.6600747</v>
      </c>
      <c r="K16" s="29">
        <f>-SUM(G16:H16)*'Q.2.Input'!L14</f>
        <v>-100171052.56839931</v>
      </c>
      <c r="L16" s="7">
        <f>SUM(G16:H16)*80%*('Q.2.Input'!L14+2%)</f>
        <v>102742439.24928065</v>
      </c>
      <c r="M16" s="7">
        <f>'Q.2.Input'!$C$8*'Q.2.Input'!K14</f>
        <v>285000000</v>
      </c>
      <c r="N16" s="7">
        <f>'Q.2.Input'!$C$9*I16</f>
        <v>31500</v>
      </c>
      <c r="O16" s="7">
        <f>'Q.2.Input'!$C$3*'Q.2.Input'!$C$7</f>
        <v>30000000</v>
      </c>
      <c r="P16" s="61">
        <v>0</v>
      </c>
      <c r="Q16" s="41">
        <f t="shared" si="1"/>
        <v>293549093.30444241</v>
      </c>
      <c r="R16" s="37">
        <f t="shared" si="2"/>
        <v>-24053793.376438901</v>
      </c>
      <c r="S16" s="37">
        <f t="shared" si="3"/>
        <v>317602886.68088132</v>
      </c>
      <c r="T16" s="5">
        <f t="shared" si="0"/>
        <v>0.32197323659069599</v>
      </c>
      <c r="U16" s="14">
        <f t="shared" si="4"/>
        <v>83558562.80786787</v>
      </c>
    </row>
    <row r="17" spans="2:21" x14ac:dyDescent="0.35">
      <c r="B17" s="45">
        <f t="shared" si="5"/>
        <v>12</v>
      </c>
      <c r="C17" s="29">
        <v>0</v>
      </c>
      <c r="D17" s="7">
        <v>0</v>
      </c>
      <c r="E17" s="7">
        <f>-'Q.2.Input'!G15</f>
        <v>-17103393.581163138</v>
      </c>
      <c r="F17" s="30">
        <f>-'Q.2.Input'!H15</f>
        <v>-8114265.2285543839</v>
      </c>
      <c r="G17" s="29">
        <f t="shared" si="6"/>
        <v>1406549824.6600747</v>
      </c>
      <c r="H17" s="7">
        <f>'Q.2.Input'!I15</f>
        <v>180209240.35630402</v>
      </c>
      <c r="I17" s="7">
        <f>'Q.2.Input'!J15</f>
        <v>5700000</v>
      </c>
      <c r="J17" s="30">
        <f t="shared" si="7"/>
        <v>1581059065.0163786</v>
      </c>
      <c r="K17" s="29">
        <f>-SUM(G17:H17)*'Q.2.Input'!L15</f>
        <v>-109327699.5796285</v>
      </c>
      <c r="L17" s="7">
        <f>SUM(G17:H17)*80%*('Q.2.Input'!L15+2%)</f>
        <v>112850304.70396486</v>
      </c>
      <c r="M17" s="7">
        <f>'Q.2.Input'!$C$8*'Q.2.Input'!K15</f>
        <v>311000000</v>
      </c>
      <c r="N17" s="7">
        <f>'Q.2.Input'!$C$9*I17</f>
        <v>28500</v>
      </c>
      <c r="O17" s="7">
        <f>'Q.2.Input'!$C$3*'Q.2.Input'!$C$7</f>
        <v>30000000</v>
      </c>
      <c r="P17" s="61">
        <v>0</v>
      </c>
      <c r="Q17" s="41">
        <f t="shared" si="1"/>
        <v>319333446.31461883</v>
      </c>
      <c r="R17" s="37">
        <f t="shared" si="2"/>
        <v>-25217658.809717521</v>
      </c>
      <c r="S17" s="37">
        <f t="shared" si="3"/>
        <v>344551105.12433636</v>
      </c>
      <c r="T17" s="5">
        <f t="shared" si="0"/>
        <v>0.28747610409883567</v>
      </c>
      <c r="U17" s="14">
        <f t="shared" si="4"/>
        <v>81188212.623114258</v>
      </c>
    </row>
    <row r="18" spans="2:21" x14ac:dyDescent="0.35">
      <c r="B18" s="45">
        <f t="shared" si="5"/>
        <v>13</v>
      </c>
      <c r="C18" s="29">
        <v>0</v>
      </c>
      <c r="D18" s="7">
        <v>0</v>
      </c>
      <c r="E18" s="7">
        <f>-'Q.2.Input'!G16</f>
        <v>-17958563.260221295</v>
      </c>
      <c r="F18" s="30">
        <f>-'Q.2.Input'!H16</f>
        <v>-8479407.1638393309</v>
      </c>
      <c r="G18" s="29">
        <f t="shared" si="6"/>
        <v>1581059065.0163786</v>
      </c>
      <c r="H18" s="7">
        <f>'Q.2.Input'!I16</f>
        <v>190120748.57590073</v>
      </c>
      <c r="I18" s="7">
        <f>'Q.2.Input'!J16</f>
        <v>9100000</v>
      </c>
      <c r="J18" s="30">
        <f t="shared" si="7"/>
        <v>1762079813.5922794</v>
      </c>
      <c r="K18" s="29">
        <f>-SUM(G18:H18)*'Q.2.Input'!L16</f>
        <v>-108750440.55456597</v>
      </c>
      <c r="L18" s="7">
        <f>SUM(G18:H18)*80%*('Q.2.Input'!L16+2%)</f>
        <v>115339229.46112925</v>
      </c>
      <c r="M18" s="7">
        <f>'Q.2.Input'!$C$8*'Q.2.Input'!K16</f>
        <v>337000000</v>
      </c>
      <c r="N18" s="7">
        <f>'Q.2.Input'!$C$9*I18</f>
        <v>45500</v>
      </c>
      <c r="O18" s="7">
        <f>'Q.2.Input'!$C$3*'Q.2.Input'!$C$7</f>
        <v>30000000</v>
      </c>
      <c r="P18" s="61">
        <v>0</v>
      </c>
      <c r="Q18" s="41">
        <f t="shared" si="1"/>
        <v>347196318.48250264</v>
      </c>
      <c r="R18" s="37">
        <f t="shared" si="2"/>
        <v>-26437970.424060628</v>
      </c>
      <c r="S18" s="37">
        <f t="shared" si="3"/>
        <v>373634288.90656328</v>
      </c>
      <c r="T18" s="5">
        <f t="shared" si="0"/>
        <v>0.25667509294538904</v>
      </c>
      <c r="U18" s="14">
        <f t="shared" si="4"/>
        <v>78841367.049006477</v>
      </c>
    </row>
    <row r="19" spans="2:21" x14ac:dyDescent="0.35">
      <c r="B19" s="45">
        <f t="shared" si="5"/>
        <v>14</v>
      </c>
      <c r="C19" s="29">
        <v>0</v>
      </c>
      <c r="D19" s="7">
        <v>0</v>
      </c>
      <c r="E19" s="7">
        <f>-'Q.2.Input'!G17</f>
        <v>-18856491.423232362</v>
      </c>
      <c r="F19" s="30">
        <f>-'Q.2.Input'!H17</f>
        <v>-8860980.4862121008</v>
      </c>
      <c r="G19" s="29">
        <f t="shared" si="6"/>
        <v>1762079813.5922794</v>
      </c>
      <c r="H19" s="7">
        <f>'Q.2.Input'!I17</f>
        <v>200577389.74757525</v>
      </c>
      <c r="I19" s="7">
        <f>'Q.2.Input'!J17</f>
        <v>9300000</v>
      </c>
      <c r="J19" s="30">
        <f t="shared" si="7"/>
        <v>1953357203.3398547</v>
      </c>
      <c r="K19" s="29">
        <f>-SUM(G19:H19)*'Q.2.Input'!L17</f>
        <v>-153283527.58084264</v>
      </c>
      <c r="L19" s="7">
        <f>SUM(G19:H19)*80%*('Q.2.Input'!L17+2%)</f>
        <v>154029337.31811181</v>
      </c>
      <c r="M19" s="7">
        <f>'Q.2.Input'!$C$8*'Q.2.Input'!K17</f>
        <v>363000000</v>
      </c>
      <c r="N19" s="7">
        <f>'Q.2.Input'!$C$9*I19</f>
        <v>46500</v>
      </c>
      <c r="O19" s="7">
        <f>'Q.2.Input'!$C$3*'Q.2.Input'!$C$7</f>
        <v>30000000</v>
      </c>
      <c r="P19" s="61">
        <v>0</v>
      </c>
      <c r="Q19" s="41">
        <f t="shared" si="1"/>
        <v>366074837.82782471</v>
      </c>
      <c r="R19" s="37">
        <f t="shared" si="2"/>
        <v>-27717471.909444463</v>
      </c>
      <c r="S19" s="37">
        <f t="shared" si="3"/>
        <v>393792309.73726916</v>
      </c>
      <c r="T19" s="5">
        <f t="shared" si="0"/>
        <v>0.22917419012981158</v>
      </c>
      <c r="U19" s="14">
        <f t="shared" si="4"/>
        <v>74225579.450730979</v>
      </c>
    </row>
    <row r="20" spans="2:21" x14ac:dyDescent="0.35">
      <c r="B20" s="45">
        <f t="shared" si="5"/>
        <v>15</v>
      </c>
      <c r="C20" s="29">
        <v>0</v>
      </c>
      <c r="D20" s="7">
        <v>0</v>
      </c>
      <c r="E20" s="7">
        <f>-'Q.2.Input'!G18</f>
        <v>-19799315.994393982</v>
      </c>
      <c r="F20" s="30">
        <f>-'Q.2.Input'!H18</f>
        <v>-9259724.6080916449</v>
      </c>
      <c r="G20" s="29">
        <f t="shared" si="6"/>
        <v>1953357203.3398547</v>
      </c>
      <c r="H20" s="7">
        <f>'Q.2.Input'!I18</f>
        <v>211609146.18369189</v>
      </c>
      <c r="I20" s="7">
        <f>'Q.2.Input'!J18</f>
        <v>7200000</v>
      </c>
      <c r="J20" s="30">
        <f t="shared" si="7"/>
        <v>2157766349.5235467</v>
      </c>
      <c r="K20" s="29">
        <f>-SUM(G20:H20)*'Q.2.Input'!L18</f>
        <v>-150681657.92683885</v>
      </c>
      <c r="L20" s="7">
        <f>SUM(G20:H20)*80%*('Q.2.Input'!L18+2%)</f>
        <v>155184787.93384781</v>
      </c>
      <c r="M20" s="7">
        <f>'Q.2.Input'!$C$8*'Q.2.Input'!K18</f>
        <v>389000000</v>
      </c>
      <c r="N20" s="7">
        <f>'Q.2.Input'!$C$9*I20</f>
        <v>36000</v>
      </c>
      <c r="O20" s="7">
        <f>'Q.2.Input'!$C$3*'Q.2.Input'!$C$7</f>
        <v>30000000</v>
      </c>
      <c r="P20" s="61">
        <v>0</v>
      </c>
      <c r="Q20" s="41">
        <f t="shared" si="1"/>
        <v>394480089.40452337</v>
      </c>
      <c r="R20" s="37">
        <f t="shared" si="2"/>
        <v>-29059040.602485627</v>
      </c>
      <c r="S20" s="37">
        <f t="shared" si="3"/>
        <v>423539130.00700897</v>
      </c>
      <c r="T20" s="5">
        <f t="shared" si="0"/>
        <v>0.20461981261590317</v>
      </c>
      <c r="U20" s="14">
        <f t="shared" si="4"/>
        <v>71432960.108493641</v>
      </c>
    </row>
    <row r="21" spans="2:21" x14ac:dyDescent="0.35">
      <c r="B21" s="45">
        <f t="shared" si="5"/>
        <v>16</v>
      </c>
      <c r="C21" s="29">
        <v>0</v>
      </c>
      <c r="D21" s="7">
        <v>0</v>
      </c>
      <c r="E21" s="7">
        <f>-'Q.2.Input'!G19</f>
        <v>-20789281.794113681</v>
      </c>
      <c r="F21" s="30">
        <f>-'Q.2.Input'!H19</f>
        <v>-9676412.2154557686</v>
      </c>
      <c r="G21" s="29">
        <f t="shared" si="6"/>
        <v>2157766349.5235467</v>
      </c>
      <c r="H21" s="7">
        <f>'Q.2.Input'!I19</f>
        <v>223247649.22379494</v>
      </c>
      <c r="I21" s="7">
        <f>'Q.2.Input'!J19</f>
        <v>11100000</v>
      </c>
      <c r="J21" s="30">
        <f t="shared" si="7"/>
        <v>2369913998.7473416</v>
      </c>
      <c r="K21" s="29">
        <f>-SUM(G21:H21)*'Q.2.Input'!L19</f>
        <v>-154765909.91857722</v>
      </c>
      <c r="L21" s="7">
        <f>SUM(G21:H21)*80%*('Q.2.Input'!L19+2%)</f>
        <v>161908951.91481924</v>
      </c>
      <c r="M21" s="7">
        <f>'Q.2.Input'!$C$8*'Q.2.Input'!K19</f>
        <v>415000000</v>
      </c>
      <c r="N21" s="7">
        <f>'Q.2.Input'!$C$9*I21</f>
        <v>55500</v>
      </c>
      <c r="O21" s="7">
        <f>'Q.2.Input'!$C$3*'Q.2.Input'!$C$7</f>
        <v>30000000</v>
      </c>
      <c r="P21" s="61">
        <v>0</v>
      </c>
      <c r="Q21" s="41">
        <f t="shared" si="1"/>
        <v>421732847.98667258</v>
      </c>
      <c r="R21" s="37">
        <f t="shared" si="2"/>
        <v>-30465694.009569451</v>
      </c>
      <c r="S21" s="37">
        <f t="shared" si="3"/>
        <v>452198541.99624205</v>
      </c>
      <c r="T21" s="5">
        <f t="shared" si="0"/>
        <v>0.18269626126419927</v>
      </c>
      <c r="U21" s="14">
        <f t="shared" si="4"/>
        <v>68197409.261057019</v>
      </c>
    </row>
    <row r="22" spans="2:21" x14ac:dyDescent="0.35">
      <c r="B22" s="45">
        <f t="shared" si="5"/>
        <v>17</v>
      </c>
      <c r="C22" s="29">
        <v>0</v>
      </c>
      <c r="D22" s="7">
        <v>0</v>
      </c>
      <c r="E22" s="7">
        <f>-'Q.2.Input'!G20</f>
        <v>-21828745.883819364</v>
      </c>
      <c r="F22" s="30">
        <f>-'Q.2.Input'!H20</f>
        <v>-10111850.765151277</v>
      </c>
      <c r="G22" s="29">
        <f t="shared" si="6"/>
        <v>2369913998.7473416</v>
      </c>
      <c r="H22" s="7">
        <f>'Q.2.Input'!I20</f>
        <v>235526269.93110365</v>
      </c>
      <c r="I22" s="7">
        <f>'Q.2.Input'!J20</f>
        <v>11000000</v>
      </c>
      <c r="J22" s="30">
        <f t="shared" si="7"/>
        <v>2594440268.6784453</v>
      </c>
      <c r="K22" s="29">
        <f>-SUM(G22:H22)*'Q.2.Input'!L20</f>
        <v>-164403280.95360991</v>
      </c>
      <c r="L22" s="7">
        <f>SUM(G22:H22)*80%*('Q.2.Input'!L20+2%)</f>
        <v>173209669.06174308</v>
      </c>
      <c r="M22" s="7">
        <f>'Q.2.Input'!$C$8*'Q.2.Input'!K20</f>
        <v>441000000</v>
      </c>
      <c r="N22" s="7">
        <f>'Q.2.Input'!$C$9*I22</f>
        <v>55000</v>
      </c>
      <c r="O22" s="7">
        <f>'Q.2.Input'!$C$3*'Q.2.Input'!$C$7</f>
        <v>30000000</v>
      </c>
      <c r="P22" s="61">
        <v>0</v>
      </c>
      <c r="Q22" s="41">
        <f t="shared" si="1"/>
        <v>447920791.45916253</v>
      </c>
      <c r="R22" s="37">
        <f t="shared" si="2"/>
        <v>-31940596.648970641</v>
      </c>
      <c r="S22" s="37">
        <f t="shared" si="3"/>
        <v>479861388.1081332</v>
      </c>
      <c r="T22" s="5">
        <f t="shared" si="0"/>
        <v>0.16312166184303503</v>
      </c>
      <c r="U22" s="14">
        <f t="shared" si="4"/>
        <v>64678892.403740674</v>
      </c>
    </row>
    <row r="23" spans="2:21" x14ac:dyDescent="0.35">
      <c r="B23" s="45">
        <f t="shared" si="5"/>
        <v>18</v>
      </c>
      <c r="C23" s="29">
        <v>0</v>
      </c>
      <c r="D23" s="7">
        <v>0</v>
      </c>
      <c r="E23" s="7">
        <f>-'Q.2.Input'!G21</f>
        <v>-22920183.178010333</v>
      </c>
      <c r="F23" s="30">
        <f>-'Q.2.Input'!H21</f>
        <v>-10566884.049583083</v>
      </c>
      <c r="G23" s="29">
        <f t="shared" si="6"/>
        <v>2594440268.6784453</v>
      </c>
      <c r="H23" s="7">
        <f>'Q.2.Input'!I21</f>
        <v>248480214.77731434</v>
      </c>
      <c r="I23" s="7">
        <f>'Q.2.Input'!J21</f>
        <v>5600000</v>
      </c>
      <c r="J23" s="30">
        <f t="shared" si="7"/>
        <v>2837320483.4557595</v>
      </c>
      <c r="K23" s="29">
        <f>-SUM(G23:H23)*'Q.2.Input'!L21</f>
        <v>-183652663.23124209</v>
      </c>
      <c r="L23" s="7">
        <f>SUM(G23:H23)*80%*('Q.2.Input'!L21+2%)</f>
        <v>192408858.32028586</v>
      </c>
      <c r="M23" s="7">
        <f>'Q.2.Input'!$C$8*'Q.2.Input'!K21</f>
        <v>467000000</v>
      </c>
      <c r="N23" s="7">
        <f>'Q.2.Input'!$C$9*I23</f>
        <v>28000</v>
      </c>
      <c r="O23" s="7">
        <f>'Q.2.Input'!$C$3*'Q.2.Input'!$C$7</f>
        <v>30000000</v>
      </c>
      <c r="P23" s="61">
        <v>0</v>
      </c>
      <c r="Q23" s="41">
        <f t="shared" si="1"/>
        <v>472297127.86145031</v>
      </c>
      <c r="R23" s="37">
        <f t="shared" si="2"/>
        <v>-33487067.227593414</v>
      </c>
      <c r="S23" s="37">
        <f t="shared" si="3"/>
        <v>505784195.08904374</v>
      </c>
      <c r="T23" s="5">
        <f t="shared" si="0"/>
        <v>0.14564434093128129</v>
      </c>
      <c r="U23" s="14">
        <f t="shared" si="4"/>
        <v>60894767.581060611</v>
      </c>
    </row>
    <row r="24" spans="2:21" x14ac:dyDescent="0.35">
      <c r="B24" s="45">
        <f t="shared" si="5"/>
        <v>19</v>
      </c>
      <c r="C24" s="29">
        <v>0</v>
      </c>
      <c r="D24" s="7">
        <v>0</v>
      </c>
      <c r="E24" s="7">
        <f>-'Q.2.Input'!G22</f>
        <v>-24066192.336910851</v>
      </c>
      <c r="F24" s="30">
        <f>-'Q.2.Input'!H22</f>
        <v>-11042393.831814321</v>
      </c>
      <c r="G24" s="29">
        <f t="shared" si="6"/>
        <v>2837320483.4557595</v>
      </c>
      <c r="H24" s="7">
        <f>'Q.2.Input'!I22</f>
        <v>262146626.59006661</v>
      </c>
      <c r="I24" s="7">
        <f>'Q.2.Input'!J22</f>
        <v>12600000</v>
      </c>
      <c r="J24" s="30">
        <f t="shared" si="7"/>
        <v>3086867110.045826</v>
      </c>
      <c r="K24" s="29">
        <f>-SUM(G24:H24)*'Q.2.Input'!L22</f>
        <v>-226880992.45535445</v>
      </c>
      <c r="L24" s="7">
        <f>SUM(G24:H24)*80%*('Q.2.Input'!L22+2%)</f>
        <v>231096267.72501677</v>
      </c>
      <c r="M24" s="7">
        <f>'Q.2.Input'!$C$8*'Q.2.Input'!K22</f>
        <v>493000000</v>
      </c>
      <c r="N24" s="7">
        <f>'Q.2.Input'!$C$9*I24</f>
        <v>63000</v>
      </c>
      <c r="O24" s="7">
        <f>'Q.2.Input'!$C$3*'Q.2.Input'!$C$7</f>
        <v>30000000</v>
      </c>
      <c r="P24" s="61">
        <v>0</v>
      </c>
      <c r="Q24" s="41">
        <f t="shared" si="1"/>
        <v>492169689.10093713</v>
      </c>
      <c r="R24" s="37">
        <f t="shared" si="2"/>
        <v>-35108586.16872517</v>
      </c>
      <c r="S24" s="37">
        <f t="shared" si="3"/>
        <v>527278275.26966232</v>
      </c>
      <c r="T24" s="5">
        <f t="shared" si="0"/>
        <v>0.13003959011721541</v>
      </c>
      <c r="U24" s="14">
        <f t="shared" si="4"/>
        <v>56655074.910898298</v>
      </c>
    </row>
    <row r="25" spans="2:21" ht="15" thickBot="1" x14ac:dyDescent="0.4">
      <c r="B25" s="46">
        <f t="shared" si="5"/>
        <v>20</v>
      </c>
      <c r="C25" s="31">
        <v>0</v>
      </c>
      <c r="D25" s="32">
        <v>0</v>
      </c>
      <c r="E25" s="32">
        <f>-'Q.2.Input'!G23</f>
        <v>-25269501.953756396</v>
      </c>
      <c r="F25" s="33">
        <f>-'Q.2.Input'!H23</f>
        <v>-11539301.554245964</v>
      </c>
      <c r="G25" s="31">
        <f t="shared" si="6"/>
        <v>3086867110.045826</v>
      </c>
      <c r="H25" s="32">
        <f>'Q.2.Input'!I23</f>
        <v>276564691.05252028</v>
      </c>
      <c r="I25" s="32">
        <f>'Q.2.Input'!J23</f>
        <v>11400000</v>
      </c>
      <c r="J25" s="33">
        <f t="shared" si="7"/>
        <v>3352031801.0983462</v>
      </c>
      <c r="K25" s="31">
        <f>-SUM(G25:H25)*'Q.2.Input'!L23</f>
        <v>-214250605.72996467</v>
      </c>
      <c r="L25" s="32">
        <f>SUM(G25:H25)*80%*('Q.2.Input'!L23+2%)</f>
        <v>225215393.40154532</v>
      </c>
      <c r="M25" s="32">
        <f>'Q.2.Input'!$C$8*'Q.2.Input'!K23</f>
        <v>519000000</v>
      </c>
      <c r="N25" s="32">
        <f>'Q.2.Input'!$C$9*I25</f>
        <v>57000</v>
      </c>
      <c r="O25" s="32">
        <f>'Q.2.Input'!$C$3*'Q.2.Input'!$C$7</f>
        <v>30000000</v>
      </c>
      <c r="P25" s="62">
        <f>L25*5</f>
        <v>1126076967.0077267</v>
      </c>
      <c r="Q25" s="66">
        <f t="shared" si="1"/>
        <v>1649289951.1713049</v>
      </c>
      <c r="R25" s="37">
        <f t="shared" si="2"/>
        <v>-36808803.508002356</v>
      </c>
      <c r="S25" s="37">
        <f t="shared" si="3"/>
        <v>1686098754.6793075</v>
      </c>
      <c r="T25" s="5">
        <f t="shared" si="0"/>
        <v>0.1161067768903709</v>
      </c>
      <c r="U25" s="14">
        <f t="shared" si="4"/>
        <v>170518651.96767572</v>
      </c>
    </row>
    <row r="26" spans="2:21" ht="15" thickBot="1" x14ac:dyDescent="0.4">
      <c r="B26" s="46">
        <f t="shared" si="5"/>
        <v>21</v>
      </c>
      <c r="T26" s="5">
        <f t="shared" si="0"/>
        <v>0.1036667650806883</v>
      </c>
    </row>
    <row r="27" spans="2:21" x14ac:dyDescent="0.35">
      <c r="K27" s="98"/>
      <c r="L27" s="98"/>
      <c r="M27" s="98"/>
      <c r="N27" s="98"/>
      <c r="O27" s="98"/>
      <c r="P27" s="98"/>
    </row>
    <row r="28" spans="2:21" x14ac:dyDescent="0.35">
      <c r="K28" s="96"/>
      <c r="L28" s="96"/>
      <c r="M28" s="96"/>
      <c r="N28" s="96"/>
      <c r="O28" s="96"/>
      <c r="P28" s="96"/>
    </row>
    <row r="29" spans="2:21" x14ac:dyDescent="0.35">
      <c r="K29" s="99"/>
      <c r="L29" s="99"/>
      <c r="M29" s="99"/>
      <c r="N29" s="99"/>
      <c r="O29" s="99"/>
      <c r="P29" s="99"/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A19C-B54A-4663-888C-F8C59BB26C5E}">
  <dimension ref="B2:U29"/>
  <sheetViews>
    <sheetView showGridLines="0" zoomScaleNormal="100" workbookViewId="0"/>
  </sheetViews>
  <sheetFormatPr defaultRowHeight="14.5" x14ac:dyDescent="0.35"/>
  <cols>
    <col min="1" max="1" width="12.1796875" bestFit="1" customWidth="1"/>
    <col min="3" max="3" width="17.1796875" bestFit="1" customWidth="1"/>
    <col min="4" max="4" width="15.54296875" bestFit="1" customWidth="1"/>
    <col min="5" max="5" width="14.54296875" bestFit="1" customWidth="1"/>
    <col min="6" max="6" width="14.453125" bestFit="1" customWidth="1"/>
    <col min="7" max="7" width="16.36328125" bestFit="1" customWidth="1"/>
    <col min="8" max="8" width="15" bestFit="1" customWidth="1"/>
    <col min="9" max="9" width="12.90625" customWidth="1"/>
    <col min="10" max="10" width="16.36328125" bestFit="1" customWidth="1"/>
    <col min="11" max="11" width="15.453125" bestFit="1" customWidth="1"/>
    <col min="12" max="12" width="15.1796875" bestFit="1" customWidth="1"/>
    <col min="13" max="13" width="14.90625" bestFit="1" customWidth="1"/>
    <col min="14" max="14" width="11.08984375" customWidth="1"/>
    <col min="15" max="15" width="13.90625" bestFit="1" customWidth="1"/>
    <col min="16" max="16" width="16.453125" bestFit="1" customWidth="1"/>
    <col min="17" max="17" width="17.1796875" bestFit="1" customWidth="1"/>
    <col min="18" max="18" width="14.453125" bestFit="1" customWidth="1"/>
    <col min="19" max="19" width="13.81640625" bestFit="1" customWidth="1"/>
    <col min="20" max="20" width="11.81640625" customWidth="1"/>
    <col min="21" max="21" width="17.08984375" bestFit="1" customWidth="1"/>
  </cols>
  <sheetData>
    <row r="2" spans="2:21" x14ac:dyDescent="0.35">
      <c r="G2" s="69" t="s">
        <v>81</v>
      </c>
      <c r="H2" s="73">
        <f>SUM(U6:U25)</f>
        <v>-1.6093254089355469E-6</v>
      </c>
      <c r="I2" s="72" t="s">
        <v>83</v>
      </c>
    </row>
    <row r="3" spans="2:21" x14ac:dyDescent="0.35">
      <c r="G3" s="69" t="s">
        <v>82</v>
      </c>
      <c r="H3" s="71">
        <v>0.14580279625814399</v>
      </c>
      <c r="I3" s="96"/>
    </row>
    <row r="4" spans="2:21" ht="15" thickBot="1" x14ac:dyDescent="0.4">
      <c r="R4" s="4"/>
      <c r="T4" s="96"/>
      <c r="U4" s="96"/>
    </row>
    <row r="5" spans="2:21" ht="44" thickBot="1" x14ac:dyDescent="0.4">
      <c r="B5" s="52" t="s">
        <v>55</v>
      </c>
      <c r="C5" s="53" t="s">
        <v>63</v>
      </c>
      <c r="D5" s="54" t="s">
        <v>64</v>
      </c>
      <c r="E5" s="54" t="s">
        <v>56</v>
      </c>
      <c r="F5" s="55" t="s">
        <v>58</v>
      </c>
      <c r="G5" s="56" t="s">
        <v>67</v>
      </c>
      <c r="H5" s="57" t="s">
        <v>68</v>
      </c>
      <c r="I5" s="57" t="s">
        <v>59</v>
      </c>
      <c r="J5" s="58" t="s">
        <v>69</v>
      </c>
      <c r="K5" s="56" t="s">
        <v>65</v>
      </c>
      <c r="L5" s="57" t="s">
        <v>66</v>
      </c>
      <c r="M5" s="57" t="s">
        <v>70</v>
      </c>
      <c r="N5" s="57" t="s">
        <v>72</v>
      </c>
      <c r="O5" s="47" t="s">
        <v>73</v>
      </c>
      <c r="P5" s="63" t="s">
        <v>74</v>
      </c>
      <c r="Q5" s="64" t="s">
        <v>75</v>
      </c>
      <c r="R5" s="10" t="s">
        <v>79</v>
      </c>
      <c r="S5" s="10" t="s">
        <v>78</v>
      </c>
      <c r="T5" s="10" t="s">
        <v>77</v>
      </c>
      <c r="U5" s="10" t="s">
        <v>80</v>
      </c>
    </row>
    <row r="6" spans="2:21" x14ac:dyDescent="0.35">
      <c r="B6" s="48">
        <v>1</v>
      </c>
      <c r="C6" s="49">
        <f>-'Q.2.Input'!C3</f>
        <v>-1000000000</v>
      </c>
      <c r="D6" s="50">
        <f>-'Q.2.Input'!C4</f>
        <v>-200000000</v>
      </c>
      <c r="E6" s="50">
        <f>-'Q.2.Input'!G4</f>
        <v>-10000000</v>
      </c>
      <c r="F6" s="51">
        <f>-'Q.2.Input'!H4</f>
        <v>-5000000</v>
      </c>
      <c r="G6" s="49">
        <v>0</v>
      </c>
      <c r="H6" s="50">
        <f>'Q.2.Input'!I4</f>
        <v>100000000</v>
      </c>
      <c r="I6" s="50">
        <f>'Q.2.Input'!J4</f>
        <v>4900000</v>
      </c>
      <c r="J6" s="51">
        <f>G6+H6-I6</f>
        <v>95100000</v>
      </c>
      <c r="K6" s="49">
        <f>-SUM(G6:H6)*'Q.2.Input'!L4</f>
        <v>-6730000</v>
      </c>
      <c r="L6" s="50">
        <f>SUM(G6:H6)*80%*('Q.2.Input'!L4+2%)</f>
        <v>6984000</v>
      </c>
      <c r="M6" s="50">
        <f>'Q.2.Input'!$C$8*'Q.2.Input'!K4</f>
        <v>25000000</v>
      </c>
      <c r="N6" s="50">
        <f>'Q.2.Input'!$C$9*I6</f>
        <v>24500</v>
      </c>
      <c r="O6" s="7">
        <f>'Q.2.Input'!$C$3*'Q.2.Input'!$C$7</f>
        <v>30000000</v>
      </c>
      <c r="P6" s="60">
        <v>0</v>
      </c>
      <c r="Q6" s="65">
        <f>SUM(C6:F6,K6:P6)</f>
        <v>-1159721500</v>
      </c>
      <c r="R6" s="37">
        <f>SUM(C6:F6)</f>
        <v>-1215000000</v>
      </c>
      <c r="S6" s="37">
        <f>SUM(K6:P6)</f>
        <v>55278500</v>
      </c>
      <c r="T6" s="5">
        <f t="shared" ref="T6:T26" si="0">(1+$H$3)^-(B6-1)</f>
        <v>1</v>
      </c>
      <c r="U6" s="14">
        <f>R6*T6+S6*T7</f>
        <v>-1166755659.7169046</v>
      </c>
    </row>
    <row r="7" spans="2:21" x14ac:dyDescent="0.35">
      <c r="B7" s="45">
        <f>B6+1</f>
        <v>2</v>
      </c>
      <c r="C7" s="29">
        <v>0</v>
      </c>
      <c r="D7" s="7">
        <v>0</v>
      </c>
      <c r="E7" s="7">
        <f>-'Q.2.Input'!G5</f>
        <v>-10500000</v>
      </c>
      <c r="F7" s="30">
        <f>-'Q.2.Input'!H5</f>
        <v>-5225000</v>
      </c>
      <c r="G7" s="29">
        <f>J6</f>
        <v>95100000</v>
      </c>
      <c r="H7" s="7">
        <f>'Q.2.Input'!I5</f>
        <v>105500000</v>
      </c>
      <c r="I7" s="7">
        <f>'Q.2.Input'!J5</f>
        <v>3200000</v>
      </c>
      <c r="J7" s="30">
        <f>G7+H7-I7</f>
        <v>197400000</v>
      </c>
      <c r="K7" s="29">
        <f>-SUM(G7:H7)*'Q.2.Input'!L5</f>
        <v>-14423140.000000002</v>
      </c>
      <c r="L7" s="7">
        <f>SUM(G7:H7)*80%*('Q.2.Input'!L5+2%)</f>
        <v>14748112.000000002</v>
      </c>
      <c r="M7" s="7">
        <f>'Q.2.Input'!$C$8*'Q.2.Input'!K5</f>
        <v>51000000</v>
      </c>
      <c r="N7" s="7">
        <f>'Q.2.Input'!$C$9*I7</f>
        <v>16000</v>
      </c>
      <c r="O7" s="7">
        <f>'Q.2.Input'!$C$3*'Q.2.Input'!$C$7</f>
        <v>30000000</v>
      </c>
      <c r="P7" s="61">
        <v>0</v>
      </c>
      <c r="Q7" s="41">
        <f t="shared" ref="Q7:Q25" si="1">SUM(C7:F7,K7:P7)</f>
        <v>65615972</v>
      </c>
      <c r="R7" s="37">
        <f t="shared" ref="R7:R25" si="2">SUM(C7:F7)</f>
        <v>-15725000</v>
      </c>
      <c r="S7" s="37">
        <f t="shared" ref="S7:S25" si="3">SUM(K7:P7)</f>
        <v>81340972</v>
      </c>
      <c r="T7" s="5">
        <f t="shared" si="0"/>
        <v>0.87275053199879316</v>
      </c>
      <c r="U7" s="14">
        <f t="shared" ref="U7:U25" si="4">R7*T7+S7*T8</f>
        <v>48232886.816806041</v>
      </c>
    </row>
    <row r="8" spans="2:21" x14ac:dyDescent="0.35">
      <c r="B8" s="45">
        <f t="shared" ref="B8:B26" si="5">B7+1</f>
        <v>3</v>
      </c>
      <c r="C8" s="29">
        <v>0</v>
      </c>
      <c r="D8" s="7">
        <v>0</v>
      </c>
      <c r="E8" s="7">
        <f>-'Q.2.Input'!G6</f>
        <v>-11025000</v>
      </c>
      <c r="F8" s="30">
        <f>-'Q.2.Input'!H6</f>
        <v>-5460125</v>
      </c>
      <c r="G8" s="29">
        <f t="shared" ref="G8:G25" si="6">J7</f>
        <v>197400000</v>
      </c>
      <c r="H8" s="7">
        <f>'Q.2.Input'!I6</f>
        <v>111302500</v>
      </c>
      <c r="I8" s="7">
        <f>'Q.2.Input'!J6</f>
        <v>3500000</v>
      </c>
      <c r="J8" s="30">
        <f t="shared" ref="J8:J25" si="7">G8+H8-I8</f>
        <v>305202500</v>
      </c>
      <c r="K8" s="29">
        <f>-SUM(G8:H8)*'Q.2.Input'!L6</f>
        <v>-18861722.75</v>
      </c>
      <c r="L8" s="7">
        <f>SUM(G8:H8)*80%*('Q.2.Input'!L6+2%)</f>
        <v>20028618.200000003</v>
      </c>
      <c r="M8" s="7">
        <f>'Q.2.Input'!$C$8*'Q.2.Input'!K6</f>
        <v>77000000</v>
      </c>
      <c r="N8" s="7">
        <f>'Q.2.Input'!$C$9*I8</f>
        <v>17500</v>
      </c>
      <c r="O8" s="7">
        <f>'Q.2.Input'!$C$3*'Q.2.Input'!$C$7</f>
        <v>30000000</v>
      </c>
      <c r="P8" s="61">
        <v>0</v>
      </c>
      <c r="Q8" s="41">
        <f t="shared" si="1"/>
        <v>91699270.450000003</v>
      </c>
      <c r="R8" s="37">
        <f t="shared" si="2"/>
        <v>-16485125</v>
      </c>
      <c r="S8" s="37">
        <f t="shared" si="3"/>
        <v>108184395.45</v>
      </c>
      <c r="T8" s="5">
        <f t="shared" si="0"/>
        <v>0.76169349110417639</v>
      </c>
      <c r="U8" s="14">
        <f t="shared" si="4"/>
        <v>59360955.01041612</v>
      </c>
    </row>
    <row r="9" spans="2:21" x14ac:dyDescent="0.35">
      <c r="B9" s="45">
        <f t="shared" si="5"/>
        <v>4</v>
      </c>
      <c r="C9" s="29">
        <v>0</v>
      </c>
      <c r="D9" s="7">
        <v>0</v>
      </c>
      <c r="E9" s="7">
        <f>-'Q.2.Input'!G7</f>
        <v>-11576250</v>
      </c>
      <c r="F9" s="30">
        <f>-'Q.2.Input'!H7</f>
        <v>-5705830.625</v>
      </c>
      <c r="G9" s="29">
        <f t="shared" si="6"/>
        <v>305202500</v>
      </c>
      <c r="H9" s="7">
        <f>'Q.2.Input'!I7</f>
        <v>117424137.5</v>
      </c>
      <c r="I9" s="7">
        <f>'Q.2.Input'!J7</f>
        <v>5300000</v>
      </c>
      <c r="J9" s="30">
        <f t="shared" si="7"/>
        <v>417326637.5</v>
      </c>
      <c r="K9" s="29">
        <f>-SUM(G9:H9)*'Q.2.Input'!L7</f>
        <v>-29668389.952500001</v>
      </c>
      <c r="L9" s="7">
        <f>SUM(G9:H9)*80%*('Q.2.Input'!L7+2%)</f>
        <v>30496738.162</v>
      </c>
      <c r="M9" s="7">
        <f>'Q.2.Input'!$C$8*'Q.2.Input'!K7</f>
        <v>103000000</v>
      </c>
      <c r="N9" s="7">
        <f>'Q.2.Input'!$C$9*I9</f>
        <v>26500</v>
      </c>
      <c r="O9" s="7">
        <f>'Q.2.Input'!$C$3*'Q.2.Input'!$C$7</f>
        <v>30000000</v>
      </c>
      <c r="P9" s="61">
        <v>0</v>
      </c>
      <c r="Q9" s="41">
        <f t="shared" si="1"/>
        <v>116572767.5845</v>
      </c>
      <c r="R9" s="37">
        <f t="shared" si="2"/>
        <v>-17282080.625</v>
      </c>
      <c r="S9" s="37">
        <f t="shared" si="3"/>
        <v>133854848.2095</v>
      </c>
      <c r="T9" s="5">
        <f t="shared" si="0"/>
        <v>0.66476839958118794</v>
      </c>
      <c r="U9" s="14">
        <f t="shared" si="4"/>
        <v>66170919.763168752</v>
      </c>
    </row>
    <row r="10" spans="2:21" x14ac:dyDescent="0.35">
      <c r="B10" s="45">
        <f t="shared" si="5"/>
        <v>5</v>
      </c>
      <c r="C10" s="29">
        <v>0</v>
      </c>
      <c r="D10" s="7">
        <v>0</v>
      </c>
      <c r="E10" s="7">
        <f>-'Q.2.Input'!G8</f>
        <v>-12155062.5</v>
      </c>
      <c r="F10" s="30">
        <f>-'Q.2.Input'!H8</f>
        <v>-5962593.0031249998</v>
      </c>
      <c r="G10" s="29">
        <f t="shared" si="6"/>
        <v>417326637.5</v>
      </c>
      <c r="H10" s="7">
        <f>'Q.2.Input'!I8</f>
        <v>123882465.0625</v>
      </c>
      <c r="I10" s="7">
        <f>'Q.2.Input'!J8</f>
        <v>3100000</v>
      </c>
      <c r="J10" s="30">
        <f t="shared" si="7"/>
        <v>538109102.5625</v>
      </c>
      <c r="K10" s="29">
        <f>-SUM(G10:H10)*'Q.2.Input'!L8</f>
        <v>-35286833.487074994</v>
      </c>
      <c r="L10" s="7">
        <f>SUM(G10:H10)*80%*('Q.2.Input'!L8+2%)</f>
        <v>36888812.430660002</v>
      </c>
      <c r="M10" s="7">
        <f>'Q.2.Input'!$C$8*'Q.2.Input'!K8</f>
        <v>129000000</v>
      </c>
      <c r="N10" s="7">
        <f>'Q.2.Input'!$C$9*I10</f>
        <v>15500</v>
      </c>
      <c r="O10" s="7">
        <f>'Q.2.Input'!$C$3*'Q.2.Input'!$C$7</f>
        <v>30000000</v>
      </c>
      <c r="P10" s="61">
        <v>0</v>
      </c>
      <c r="Q10" s="41">
        <f t="shared" si="1"/>
        <v>142499823.44046</v>
      </c>
      <c r="R10" s="37">
        <f t="shared" si="2"/>
        <v>-18117655.503125001</v>
      </c>
      <c r="S10" s="37">
        <f t="shared" si="3"/>
        <v>160617478.94358501</v>
      </c>
      <c r="T10" s="5">
        <f t="shared" si="0"/>
        <v>0.580176974390468</v>
      </c>
      <c r="U10" s="14">
        <f t="shared" si="4"/>
        <v>70817175.852359429</v>
      </c>
    </row>
    <row r="11" spans="2:21" x14ac:dyDescent="0.35">
      <c r="B11" s="45">
        <f t="shared" si="5"/>
        <v>6</v>
      </c>
      <c r="C11" s="29">
        <v>0</v>
      </c>
      <c r="D11" s="7">
        <v>0</v>
      </c>
      <c r="E11" s="7">
        <f>-'Q.2.Input'!G9</f>
        <v>-12762815.625</v>
      </c>
      <c r="F11" s="30">
        <f>-'Q.2.Input'!H9</f>
        <v>-6230909.6882656245</v>
      </c>
      <c r="G11" s="29">
        <f t="shared" si="6"/>
        <v>538109102.5625</v>
      </c>
      <c r="H11" s="7">
        <f>'Q.2.Input'!I9</f>
        <v>130696000.64093749</v>
      </c>
      <c r="I11" s="7">
        <f>'Q.2.Input'!J9</f>
        <v>4800000</v>
      </c>
      <c r="J11" s="30">
        <f t="shared" si="7"/>
        <v>664005103.20343745</v>
      </c>
      <c r="K11" s="29">
        <f>-SUM(G11:H11)*'Q.2.Input'!L9</f>
        <v>-49224055.595772997</v>
      </c>
      <c r="L11" s="7">
        <f>SUM(G11:H11)*80%*('Q.2.Input'!L9+2%)</f>
        <v>50080126.127873398</v>
      </c>
      <c r="M11" s="7">
        <f>'Q.2.Input'!$C$8*'Q.2.Input'!K9</f>
        <v>155000000</v>
      </c>
      <c r="N11" s="7">
        <f>'Q.2.Input'!$C$9*I11</f>
        <v>24000</v>
      </c>
      <c r="O11" s="7">
        <f>'Q.2.Input'!$C$3*'Q.2.Input'!$C$7</f>
        <v>30000000</v>
      </c>
      <c r="P11" s="61">
        <v>0</v>
      </c>
      <c r="Q11" s="41">
        <f t="shared" si="1"/>
        <v>166886345.21883479</v>
      </c>
      <c r="R11" s="37">
        <f t="shared" si="2"/>
        <v>-18993725.313265625</v>
      </c>
      <c r="S11" s="37">
        <f t="shared" si="3"/>
        <v>185880070.53210041</v>
      </c>
      <c r="T11" s="5">
        <f t="shared" si="0"/>
        <v>0.50634976305273116</v>
      </c>
      <c r="U11" s="14">
        <f t="shared" si="4"/>
        <v>72526099.479667976</v>
      </c>
    </row>
    <row r="12" spans="2:21" x14ac:dyDescent="0.35">
      <c r="B12" s="45">
        <f t="shared" si="5"/>
        <v>7</v>
      </c>
      <c r="C12" s="29">
        <v>0</v>
      </c>
      <c r="D12" s="7">
        <v>0</v>
      </c>
      <c r="E12" s="7">
        <f>-'Q.2.Input'!G10</f>
        <v>-13400956.40625</v>
      </c>
      <c r="F12" s="30">
        <f>-'Q.2.Input'!H10</f>
        <v>-6511300.6242375774</v>
      </c>
      <c r="G12" s="29">
        <f t="shared" si="6"/>
        <v>664005103.20343745</v>
      </c>
      <c r="H12" s="7">
        <f>'Q.2.Input'!I10</f>
        <v>137884280.67618904</v>
      </c>
      <c r="I12" s="7">
        <f>'Q.2.Input'!J10</f>
        <v>4400000</v>
      </c>
      <c r="J12" s="30">
        <f t="shared" si="7"/>
        <v>797489383.87962651</v>
      </c>
      <c r="K12" s="29">
        <f>-SUM(G12:H12)*'Q.2.Input'!L10</f>
        <v>-63349261.326490492</v>
      </c>
      <c r="L12" s="7">
        <f>SUM(G12:H12)*80%*('Q.2.Input'!L10+2%)</f>
        <v>63509639.203266427</v>
      </c>
      <c r="M12" s="7">
        <f>'Q.2.Input'!$C$8*'Q.2.Input'!K10</f>
        <v>181000000</v>
      </c>
      <c r="N12" s="7">
        <f>'Q.2.Input'!$C$9*I12</f>
        <v>22000</v>
      </c>
      <c r="O12" s="7">
        <f>'Q.2.Input'!$C$3*'Q.2.Input'!$C$7</f>
        <v>30000000</v>
      </c>
      <c r="P12" s="61">
        <v>0</v>
      </c>
      <c r="Q12" s="41">
        <f t="shared" si="1"/>
        <v>191270120.84628835</v>
      </c>
      <c r="R12" s="37">
        <f t="shared" si="2"/>
        <v>-19912257.030487578</v>
      </c>
      <c r="S12" s="37">
        <f t="shared" si="3"/>
        <v>211182377.87677592</v>
      </c>
      <c r="T12" s="5">
        <f t="shared" si="0"/>
        <v>0.44191702508173392</v>
      </c>
      <c r="U12" s="14">
        <f t="shared" si="4"/>
        <v>72649954.969218612</v>
      </c>
    </row>
    <row r="13" spans="2:21" x14ac:dyDescent="0.35">
      <c r="B13" s="45">
        <f t="shared" si="5"/>
        <v>8</v>
      </c>
      <c r="C13" s="29">
        <v>0</v>
      </c>
      <c r="D13" s="7">
        <v>0</v>
      </c>
      <c r="E13" s="7">
        <f>-'Q.2.Input'!G11</f>
        <v>-14071004.2265625</v>
      </c>
      <c r="F13" s="30">
        <f>-'Q.2.Input'!H11</f>
        <v>-6804309.1523282677</v>
      </c>
      <c r="G13" s="29">
        <f t="shared" si="6"/>
        <v>797489383.87962651</v>
      </c>
      <c r="H13" s="7">
        <f>'Q.2.Input'!I11</f>
        <v>145467916.11337942</v>
      </c>
      <c r="I13" s="7">
        <f>'Q.2.Input'!J11</f>
        <v>6100000</v>
      </c>
      <c r="J13" s="30">
        <f t="shared" si="7"/>
        <v>936857299.99300599</v>
      </c>
      <c r="K13" s="29">
        <f>-SUM(G13:H13)*'Q.2.Input'!L11</f>
        <v>-65535532.349513926</v>
      </c>
      <c r="L13" s="7">
        <f>SUM(G13:H13)*80%*('Q.2.Input'!L11+2%)</f>
        <v>67515742.679499239</v>
      </c>
      <c r="M13" s="7">
        <f>'Q.2.Input'!$C$8*'Q.2.Input'!K11</f>
        <v>207000000</v>
      </c>
      <c r="N13" s="7">
        <f>'Q.2.Input'!$C$9*I13</f>
        <v>30500</v>
      </c>
      <c r="O13" s="7">
        <f>'Q.2.Input'!$C$3*'Q.2.Input'!$C$7</f>
        <v>30000000</v>
      </c>
      <c r="P13" s="61">
        <v>0</v>
      </c>
      <c r="Q13" s="41">
        <f t="shared" si="1"/>
        <v>218135396.95109454</v>
      </c>
      <c r="R13" s="37">
        <f t="shared" si="2"/>
        <v>-20875313.378890768</v>
      </c>
      <c r="S13" s="37">
        <f t="shared" si="3"/>
        <v>239010710.32998532</v>
      </c>
      <c r="T13" s="5">
        <f t="shared" si="0"/>
        <v>0.38568331873940731</v>
      </c>
      <c r="U13" s="14">
        <f t="shared" si="4"/>
        <v>72401016.875851348</v>
      </c>
    </row>
    <row r="14" spans="2:21" x14ac:dyDescent="0.35">
      <c r="B14" s="45">
        <f t="shared" si="5"/>
        <v>9</v>
      </c>
      <c r="C14" s="29">
        <v>0</v>
      </c>
      <c r="D14" s="7">
        <v>0</v>
      </c>
      <c r="E14" s="7">
        <f>-'Q.2.Input'!G12</f>
        <v>-14774554.437890626</v>
      </c>
      <c r="F14" s="30">
        <f>-'Q.2.Input'!H12</f>
        <v>-7110503.0641830396</v>
      </c>
      <c r="G14" s="29">
        <f t="shared" si="6"/>
        <v>936857299.99300599</v>
      </c>
      <c r="H14" s="7">
        <f>'Q.2.Input'!I12</f>
        <v>153468651.49961528</v>
      </c>
      <c r="I14" s="7">
        <f>'Q.2.Input'!J12</f>
        <v>5500000</v>
      </c>
      <c r="J14" s="30">
        <f t="shared" si="7"/>
        <v>1084825951.4926212</v>
      </c>
      <c r="K14" s="29">
        <f>-SUM(G14:H14)*'Q.2.Input'!L12</f>
        <v>-74469262.486946031</v>
      </c>
      <c r="L14" s="7">
        <f>SUM(G14:H14)*80%*('Q.2.Input'!L12+2%)</f>
        <v>77020625.213438779</v>
      </c>
      <c r="M14" s="7">
        <f>'Q.2.Input'!$C$8*'Q.2.Input'!K12</f>
        <v>233000000</v>
      </c>
      <c r="N14" s="7">
        <f>'Q.2.Input'!$C$9*I14</f>
        <v>27500</v>
      </c>
      <c r="O14" s="7">
        <f>'Q.2.Input'!$C$3*'Q.2.Input'!$C$7</f>
        <v>30000000</v>
      </c>
      <c r="P14" s="61">
        <v>0</v>
      </c>
      <c r="Q14" s="41">
        <f t="shared" si="1"/>
        <v>243693805.22441909</v>
      </c>
      <c r="R14" s="37">
        <f t="shared" si="2"/>
        <v>-21885057.502073668</v>
      </c>
      <c r="S14" s="37">
        <f t="shared" si="3"/>
        <v>265578862.72649276</v>
      </c>
      <c r="T14" s="5">
        <f t="shared" si="0"/>
        <v>0.33660532161287782</v>
      </c>
      <c r="U14" s="14">
        <f t="shared" si="4"/>
        <v>70653132.596468359</v>
      </c>
    </row>
    <row r="15" spans="2:21" x14ac:dyDescent="0.35">
      <c r="B15" s="45">
        <f t="shared" si="5"/>
        <v>10</v>
      </c>
      <c r="C15" s="29">
        <v>0</v>
      </c>
      <c r="D15" s="7">
        <v>0</v>
      </c>
      <c r="E15" s="7">
        <f>-'Q.2.Input'!G13</f>
        <v>-15513282.159785159</v>
      </c>
      <c r="F15" s="30">
        <f>-'Q.2.Input'!H13</f>
        <v>-7430475.7020712756</v>
      </c>
      <c r="G15" s="29">
        <f t="shared" si="6"/>
        <v>1084825951.4926212</v>
      </c>
      <c r="H15" s="7">
        <f>'Q.2.Input'!I13</f>
        <v>161909427.3320941</v>
      </c>
      <c r="I15" s="7">
        <f>'Q.2.Input'!J13</f>
        <v>4700000</v>
      </c>
      <c r="J15" s="30">
        <f t="shared" si="7"/>
        <v>1242035378.8247154</v>
      </c>
      <c r="K15" s="29">
        <f>-SUM(G15:H15)*'Q.2.Input'!L13</f>
        <v>-84154638.070668295</v>
      </c>
      <c r="L15" s="7">
        <f>SUM(G15:H15)*80%*('Q.2.Input'!L13+2%)</f>
        <v>87271476.517730087</v>
      </c>
      <c r="M15" s="7">
        <f>'Q.2.Input'!$C$8*'Q.2.Input'!K13</f>
        <v>259000000</v>
      </c>
      <c r="N15" s="7">
        <f>'Q.2.Input'!$C$9*I15</f>
        <v>23500</v>
      </c>
      <c r="O15" s="7">
        <f>'Q.2.Input'!$C$3*'Q.2.Input'!$C$7</f>
        <v>30000000</v>
      </c>
      <c r="P15" s="61">
        <v>0</v>
      </c>
      <c r="Q15" s="41">
        <f t="shared" si="1"/>
        <v>269196580.58520538</v>
      </c>
      <c r="R15" s="37">
        <f t="shared" si="2"/>
        <v>-22943757.861856434</v>
      </c>
      <c r="S15" s="37">
        <f t="shared" si="3"/>
        <v>292140338.44706178</v>
      </c>
      <c r="T15" s="5">
        <f t="shared" si="0"/>
        <v>0.29377247351126395</v>
      </c>
      <c r="U15" s="14">
        <f t="shared" si="4"/>
        <v>68161640.990023747</v>
      </c>
    </row>
    <row r="16" spans="2:21" x14ac:dyDescent="0.35">
      <c r="B16" s="45">
        <f t="shared" si="5"/>
        <v>11</v>
      </c>
      <c r="C16" s="29">
        <v>0</v>
      </c>
      <c r="D16" s="7">
        <v>0</v>
      </c>
      <c r="E16" s="7">
        <f>-'Q.2.Input'!G14</f>
        <v>-16288946.267774418</v>
      </c>
      <c r="F16" s="30">
        <f>-'Q.2.Input'!H14</f>
        <v>-7764847.1086644828</v>
      </c>
      <c r="G16" s="29">
        <f t="shared" si="6"/>
        <v>1242035378.8247154</v>
      </c>
      <c r="H16" s="7">
        <f>'Q.2.Input'!I14</f>
        <v>170814445.83535928</v>
      </c>
      <c r="I16" s="7">
        <f>'Q.2.Input'!J14</f>
        <v>6300000</v>
      </c>
      <c r="J16" s="30">
        <f t="shared" si="7"/>
        <v>1406549824.6600747</v>
      </c>
      <c r="K16" s="29">
        <f>-SUM(G16:H16)*'Q.2.Input'!L14</f>
        <v>-100171052.56839931</v>
      </c>
      <c r="L16" s="7">
        <f>SUM(G16:H16)*80%*('Q.2.Input'!L14+2%)</f>
        <v>102742439.24928065</v>
      </c>
      <c r="M16" s="7">
        <f>'Q.2.Input'!$C$8*'Q.2.Input'!K14</f>
        <v>285000000</v>
      </c>
      <c r="N16" s="7">
        <f>'Q.2.Input'!$C$9*I16</f>
        <v>31500</v>
      </c>
      <c r="O16" s="7">
        <f>'Q.2.Input'!$C$3*'Q.2.Input'!$C$7</f>
        <v>30000000</v>
      </c>
      <c r="P16" s="61">
        <v>0</v>
      </c>
      <c r="Q16" s="41">
        <f t="shared" si="1"/>
        <v>293549093.30444241</v>
      </c>
      <c r="R16" s="37">
        <f t="shared" si="2"/>
        <v>-24053793.376438901</v>
      </c>
      <c r="S16" s="37">
        <f t="shared" si="3"/>
        <v>317602886.68088132</v>
      </c>
      <c r="T16" s="5">
        <f t="shared" si="0"/>
        <v>0.25639008254355694</v>
      </c>
      <c r="U16" s="14">
        <f t="shared" si="4"/>
        <v>64901122.773926243</v>
      </c>
    </row>
    <row r="17" spans="2:21" x14ac:dyDescent="0.35">
      <c r="B17" s="45">
        <f t="shared" si="5"/>
        <v>12</v>
      </c>
      <c r="C17" s="29">
        <v>0</v>
      </c>
      <c r="D17" s="7">
        <v>0</v>
      </c>
      <c r="E17" s="7">
        <f>-'Q.2.Input'!G15</f>
        <v>-17103393.581163138</v>
      </c>
      <c r="F17" s="30">
        <f>-'Q.2.Input'!H15</f>
        <v>-8114265.2285543839</v>
      </c>
      <c r="G17" s="29">
        <f t="shared" si="6"/>
        <v>1406549824.6600747</v>
      </c>
      <c r="H17" s="7">
        <f>'Q.2.Input'!I15</f>
        <v>180209240.35630402</v>
      </c>
      <c r="I17" s="7">
        <f>'Q.2.Input'!J15</f>
        <v>5700000</v>
      </c>
      <c r="J17" s="30">
        <f t="shared" si="7"/>
        <v>1581059065.0163786</v>
      </c>
      <c r="K17" s="29">
        <f>-SUM(G17:H17)*'Q.2.Input'!L15</f>
        <v>-109327699.5796285</v>
      </c>
      <c r="L17" s="7">
        <f>SUM(G17:H17)*80%*('Q.2.Input'!L15+2%)</f>
        <v>112850304.70396486</v>
      </c>
      <c r="M17" s="7">
        <f>'Q.2.Input'!$C$8*'Q.2.Input'!K15</f>
        <v>311000000</v>
      </c>
      <c r="N17" s="7">
        <f>'Q.2.Input'!$C$9*I17</f>
        <v>28500</v>
      </c>
      <c r="O17" s="7">
        <f>'Q.2.Input'!$C$3*'Q.2.Input'!$C$7</f>
        <v>30000000</v>
      </c>
      <c r="P17" s="61">
        <v>0</v>
      </c>
      <c r="Q17" s="41">
        <f t="shared" si="1"/>
        <v>319333446.31461883</v>
      </c>
      <c r="R17" s="37">
        <f t="shared" si="2"/>
        <v>-25217658.809717521</v>
      </c>
      <c r="S17" s="37">
        <f t="shared" si="3"/>
        <v>344551105.12433636</v>
      </c>
      <c r="T17" s="5">
        <f t="shared" si="0"/>
        <v>0.22376458093910381</v>
      </c>
      <c r="U17" s="14">
        <f t="shared" si="4"/>
        <v>61644792.853656337</v>
      </c>
    </row>
    <row r="18" spans="2:21" x14ac:dyDescent="0.35">
      <c r="B18" s="45">
        <f t="shared" si="5"/>
        <v>13</v>
      </c>
      <c r="C18" s="29">
        <v>0</v>
      </c>
      <c r="D18" s="7">
        <v>0</v>
      </c>
      <c r="E18" s="7">
        <f>-'Q.2.Input'!G16</f>
        <v>-17958563.260221295</v>
      </c>
      <c r="F18" s="30">
        <f>-'Q.2.Input'!H16</f>
        <v>-8479407.1638393309</v>
      </c>
      <c r="G18" s="29">
        <f t="shared" si="6"/>
        <v>1581059065.0163786</v>
      </c>
      <c r="H18" s="7">
        <f>'Q.2.Input'!I16</f>
        <v>190120748.57590073</v>
      </c>
      <c r="I18" s="7">
        <f>'Q.2.Input'!J16</f>
        <v>9100000</v>
      </c>
      <c r="J18" s="30">
        <f t="shared" si="7"/>
        <v>1762079813.5922794</v>
      </c>
      <c r="K18" s="29">
        <f>-SUM(G18:H18)*'Q.2.Input'!L16</f>
        <v>-108750440.55456597</v>
      </c>
      <c r="L18" s="7">
        <f>SUM(G18:H18)*80%*('Q.2.Input'!L16+2%)</f>
        <v>115339229.46112925</v>
      </c>
      <c r="M18" s="7">
        <f>'Q.2.Input'!$C$8*'Q.2.Input'!K16</f>
        <v>337000000</v>
      </c>
      <c r="N18" s="7">
        <f>'Q.2.Input'!$C$9*I18</f>
        <v>45500</v>
      </c>
      <c r="O18" s="7">
        <f>'Q.2.Input'!$C$3*'Q.2.Input'!$C$7</f>
        <v>30000000</v>
      </c>
      <c r="P18" s="61">
        <v>0</v>
      </c>
      <c r="Q18" s="41">
        <f t="shared" si="1"/>
        <v>347196318.48250264</v>
      </c>
      <c r="R18" s="37">
        <f t="shared" si="2"/>
        <v>-26437970.424060628</v>
      </c>
      <c r="S18" s="37">
        <f t="shared" si="3"/>
        <v>373634288.90656328</v>
      </c>
      <c r="T18" s="5">
        <f t="shared" si="0"/>
        <v>0.19529065705708984</v>
      </c>
      <c r="U18" s="14">
        <f t="shared" si="4"/>
        <v>58519148.86730174</v>
      </c>
    </row>
    <row r="19" spans="2:21" x14ac:dyDescent="0.35">
      <c r="B19" s="45">
        <f t="shared" si="5"/>
        <v>14</v>
      </c>
      <c r="C19" s="29">
        <v>0</v>
      </c>
      <c r="D19" s="7">
        <v>0</v>
      </c>
      <c r="E19" s="7">
        <f>-'Q.2.Input'!G17</f>
        <v>-18856491.423232362</v>
      </c>
      <c r="F19" s="30">
        <f>-'Q.2.Input'!H17</f>
        <v>-8860980.4862121008</v>
      </c>
      <c r="G19" s="29">
        <f t="shared" si="6"/>
        <v>1762079813.5922794</v>
      </c>
      <c r="H19" s="7">
        <f>'Q.2.Input'!I17</f>
        <v>200577389.74757525</v>
      </c>
      <c r="I19" s="7">
        <f>'Q.2.Input'!J17</f>
        <v>9300000</v>
      </c>
      <c r="J19" s="30">
        <f t="shared" si="7"/>
        <v>1953357203.3398547</v>
      </c>
      <c r="K19" s="29">
        <f>-SUM(G19:H19)*'Q.2.Input'!L17</f>
        <v>-153283527.58084264</v>
      </c>
      <c r="L19" s="7">
        <f>SUM(G19:H19)*80%*('Q.2.Input'!L17+2%)</f>
        <v>154029337.31811181</v>
      </c>
      <c r="M19" s="7">
        <f>'Q.2.Input'!$C$8*'Q.2.Input'!K17</f>
        <v>363000000</v>
      </c>
      <c r="N19" s="7">
        <f>'Q.2.Input'!$C$9*I19</f>
        <v>46500</v>
      </c>
      <c r="O19" s="7">
        <f>'Q.2.Input'!$C$3*'Q.2.Input'!$C$7</f>
        <v>30000000</v>
      </c>
      <c r="P19" s="61">
        <v>0</v>
      </c>
      <c r="Q19" s="41">
        <f t="shared" si="1"/>
        <v>366074837.82782471</v>
      </c>
      <c r="R19" s="37">
        <f t="shared" si="2"/>
        <v>-27717471.909444463</v>
      </c>
      <c r="S19" s="37">
        <f t="shared" si="3"/>
        <v>393792309.73726916</v>
      </c>
      <c r="T19" s="5">
        <f t="shared" si="0"/>
        <v>0.17044002484096904</v>
      </c>
      <c r="U19" s="14">
        <f t="shared" si="4"/>
        <v>53853078.343111336</v>
      </c>
    </row>
    <row r="20" spans="2:21" x14ac:dyDescent="0.35">
      <c r="B20" s="45">
        <f t="shared" si="5"/>
        <v>15</v>
      </c>
      <c r="C20" s="29">
        <v>0</v>
      </c>
      <c r="D20" s="7">
        <v>0</v>
      </c>
      <c r="E20" s="7">
        <f>-'Q.2.Input'!G18</f>
        <v>-19799315.994393982</v>
      </c>
      <c r="F20" s="30">
        <f>-'Q.2.Input'!H18</f>
        <v>-9259724.6080916449</v>
      </c>
      <c r="G20" s="29">
        <f t="shared" si="6"/>
        <v>1953357203.3398547</v>
      </c>
      <c r="H20" s="7">
        <f>'Q.2.Input'!I18</f>
        <v>211609146.18369189</v>
      </c>
      <c r="I20" s="7">
        <f>'Q.2.Input'!J18</f>
        <v>7200000</v>
      </c>
      <c r="J20" s="30">
        <f t="shared" si="7"/>
        <v>2157766349.5235467</v>
      </c>
      <c r="K20" s="29">
        <f>-SUM(G20:H20)*'Q.2.Input'!L18</f>
        <v>-150681657.92683885</v>
      </c>
      <c r="L20" s="7">
        <f>SUM(G20:H20)*80%*('Q.2.Input'!L18+2%)</f>
        <v>155184787.93384781</v>
      </c>
      <c r="M20" s="7">
        <f>'Q.2.Input'!$C$8*'Q.2.Input'!K18</f>
        <v>389000000</v>
      </c>
      <c r="N20" s="7">
        <f>'Q.2.Input'!$C$9*I20</f>
        <v>36000</v>
      </c>
      <c r="O20" s="7">
        <f>'Q.2.Input'!$C$3*'Q.2.Input'!$C$7</f>
        <v>30000000</v>
      </c>
      <c r="P20" s="61">
        <v>0</v>
      </c>
      <c r="Q20" s="41">
        <f t="shared" si="1"/>
        <v>394480089.40452337</v>
      </c>
      <c r="R20" s="37">
        <f t="shared" si="2"/>
        <v>-29059040.602485627</v>
      </c>
      <c r="S20" s="37">
        <f t="shared" si="3"/>
        <v>423539130.00700897</v>
      </c>
      <c r="T20" s="5">
        <f t="shared" si="0"/>
        <v>0.1487516223538432</v>
      </c>
      <c r="U20" s="14">
        <f t="shared" si="4"/>
        <v>50662565.413793333</v>
      </c>
    </row>
    <row r="21" spans="2:21" x14ac:dyDescent="0.35">
      <c r="B21" s="45">
        <f t="shared" si="5"/>
        <v>16</v>
      </c>
      <c r="C21" s="29">
        <v>0</v>
      </c>
      <c r="D21" s="7">
        <v>0</v>
      </c>
      <c r="E21" s="7">
        <f>-'Q.2.Input'!G19</f>
        <v>-20789281.794113681</v>
      </c>
      <c r="F21" s="30">
        <f>-'Q.2.Input'!H19</f>
        <v>-9676412.2154557686</v>
      </c>
      <c r="G21" s="29">
        <f t="shared" si="6"/>
        <v>2157766349.5235467</v>
      </c>
      <c r="H21" s="7">
        <f>'Q.2.Input'!I19</f>
        <v>223247649.22379494</v>
      </c>
      <c r="I21" s="7">
        <f>'Q.2.Input'!J19</f>
        <v>11100000</v>
      </c>
      <c r="J21" s="30">
        <f t="shared" si="7"/>
        <v>2369913998.7473416</v>
      </c>
      <c r="K21" s="29">
        <f>-SUM(G21:H21)*'Q.2.Input'!L19</f>
        <v>-154765909.91857722</v>
      </c>
      <c r="L21" s="7">
        <f>SUM(G21:H21)*80%*('Q.2.Input'!L19+2%)</f>
        <v>161908951.91481924</v>
      </c>
      <c r="M21" s="7">
        <f>'Q.2.Input'!$C$8*'Q.2.Input'!K19</f>
        <v>415000000</v>
      </c>
      <c r="N21" s="7">
        <f>'Q.2.Input'!$C$9*I21</f>
        <v>55500</v>
      </c>
      <c r="O21" s="7">
        <f>'Q.2.Input'!$C$3*'Q.2.Input'!$C$7</f>
        <v>30000000</v>
      </c>
      <c r="P21" s="61">
        <v>0</v>
      </c>
      <c r="Q21" s="41">
        <f t="shared" si="1"/>
        <v>421732847.98667258</v>
      </c>
      <c r="R21" s="37">
        <f t="shared" si="2"/>
        <v>-30465694.009569451</v>
      </c>
      <c r="S21" s="37">
        <f t="shared" si="3"/>
        <v>452198541.99624205</v>
      </c>
      <c r="T21" s="5">
        <f t="shared" si="0"/>
        <v>0.12982305754500026</v>
      </c>
      <c r="U21" s="14">
        <f t="shared" si="4"/>
        <v>47280366.312772535</v>
      </c>
    </row>
    <row r="22" spans="2:21" x14ac:dyDescent="0.35">
      <c r="B22" s="45">
        <f t="shared" si="5"/>
        <v>17</v>
      </c>
      <c r="C22" s="29">
        <v>0</v>
      </c>
      <c r="D22" s="7">
        <v>0</v>
      </c>
      <c r="E22" s="7">
        <f>-'Q.2.Input'!G20</f>
        <v>-21828745.883819364</v>
      </c>
      <c r="F22" s="30">
        <f>-'Q.2.Input'!H20</f>
        <v>-10111850.765151277</v>
      </c>
      <c r="G22" s="29">
        <f t="shared" si="6"/>
        <v>2369913998.7473416</v>
      </c>
      <c r="H22" s="7">
        <f>'Q.2.Input'!I20</f>
        <v>235526269.93110365</v>
      </c>
      <c r="I22" s="7">
        <f>'Q.2.Input'!J20</f>
        <v>11000000</v>
      </c>
      <c r="J22" s="30">
        <f t="shared" si="7"/>
        <v>2594440268.6784453</v>
      </c>
      <c r="K22" s="29">
        <f>-SUM(G22:H22)*'Q.2.Input'!L20</f>
        <v>-164403280.95360991</v>
      </c>
      <c r="L22" s="7">
        <f>SUM(G22:H22)*80%*('Q.2.Input'!L20+2%)</f>
        <v>173209669.06174308</v>
      </c>
      <c r="M22" s="7">
        <f>'Q.2.Input'!$C$8*'Q.2.Input'!K20</f>
        <v>441000000</v>
      </c>
      <c r="N22" s="7">
        <f>'Q.2.Input'!$C$9*I22</f>
        <v>55000</v>
      </c>
      <c r="O22" s="7">
        <f>'Q.2.Input'!$C$3*'Q.2.Input'!$C$7</f>
        <v>30000000</v>
      </c>
      <c r="P22" s="61">
        <v>0</v>
      </c>
      <c r="Q22" s="41">
        <f t="shared" si="1"/>
        <v>447920791.45916253</v>
      </c>
      <c r="R22" s="37">
        <f t="shared" si="2"/>
        <v>-31940596.648970641</v>
      </c>
      <c r="S22" s="37">
        <f t="shared" si="3"/>
        <v>479861388.1081332</v>
      </c>
      <c r="T22" s="5">
        <f t="shared" si="0"/>
        <v>0.1133031425381089</v>
      </c>
      <c r="U22" s="14">
        <f t="shared" si="4"/>
        <v>43832304.740906395</v>
      </c>
    </row>
    <row r="23" spans="2:21" x14ac:dyDescent="0.35">
      <c r="B23" s="45">
        <f t="shared" si="5"/>
        <v>18</v>
      </c>
      <c r="C23" s="29">
        <v>0</v>
      </c>
      <c r="D23" s="7">
        <v>0</v>
      </c>
      <c r="E23" s="7">
        <f>-'Q.2.Input'!G21</f>
        <v>-22920183.178010333</v>
      </c>
      <c r="F23" s="30">
        <f>-'Q.2.Input'!H21</f>
        <v>-10566884.049583083</v>
      </c>
      <c r="G23" s="29">
        <f t="shared" si="6"/>
        <v>2594440268.6784453</v>
      </c>
      <c r="H23" s="7">
        <f>'Q.2.Input'!I21</f>
        <v>248480214.77731434</v>
      </c>
      <c r="I23" s="7">
        <f>'Q.2.Input'!J21</f>
        <v>5600000</v>
      </c>
      <c r="J23" s="30">
        <f t="shared" si="7"/>
        <v>2837320483.4557595</v>
      </c>
      <c r="K23" s="29">
        <f>-SUM(G23:H23)*'Q.2.Input'!L21</f>
        <v>-183652663.23124209</v>
      </c>
      <c r="L23" s="7">
        <f>SUM(G23:H23)*80%*('Q.2.Input'!L21+2%)</f>
        <v>192408858.32028586</v>
      </c>
      <c r="M23" s="7">
        <f>'Q.2.Input'!$C$8*'Q.2.Input'!K21</f>
        <v>467000000</v>
      </c>
      <c r="N23" s="7">
        <f>'Q.2.Input'!$C$9*I23</f>
        <v>28000</v>
      </c>
      <c r="O23" s="7">
        <f>'Q.2.Input'!$C$3*'Q.2.Input'!$C$7</f>
        <v>30000000</v>
      </c>
      <c r="P23" s="61">
        <v>0</v>
      </c>
      <c r="Q23" s="41">
        <f t="shared" si="1"/>
        <v>472297127.86145031</v>
      </c>
      <c r="R23" s="37">
        <f t="shared" si="2"/>
        <v>-33487067.227593414</v>
      </c>
      <c r="S23" s="37">
        <f t="shared" si="3"/>
        <v>505784195.08904374</v>
      </c>
      <c r="T23" s="5">
        <f t="shared" si="0"/>
        <v>9.8885377927269619E-2</v>
      </c>
      <c r="U23" s="14">
        <f t="shared" si="4"/>
        <v>40338940.942273147</v>
      </c>
    </row>
    <row r="24" spans="2:21" x14ac:dyDescent="0.35">
      <c r="B24" s="45">
        <f t="shared" si="5"/>
        <v>19</v>
      </c>
      <c r="C24" s="29">
        <v>0</v>
      </c>
      <c r="D24" s="7">
        <v>0</v>
      </c>
      <c r="E24" s="7">
        <f>-'Q.2.Input'!G22</f>
        <v>-24066192.336910851</v>
      </c>
      <c r="F24" s="30">
        <f>-'Q.2.Input'!H22</f>
        <v>-11042393.831814321</v>
      </c>
      <c r="G24" s="29">
        <f t="shared" si="6"/>
        <v>2837320483.4557595</v>
      </c>
      <c r="H24" s="7">
        <f>'Q.2.Input'!I22</f>
        <v>262146626.59006661</v>
      </c>
      <c r="I24" s="7">
        <f>'Q.2.Input'!J22</f>
        <v>12600000</v>
      </c>
      <c r="J24" s="30">
        <f t="shared" si="7"/>
        <v>3086867110.045826</v>
      </c>
      <c r="K24" s="29">
        <f>-SUM(G24:H24)*'Q.2.Input'!L22</f>
        <v>-226880992.45535445</v>
      </c>
      <c r="L24" s="7">
        <f>SUM(G24:H24)*80%*('Q.2.Input'!L22+2%)</f>
        <v>231096267.72501677</v>
      </c>
      <c r="M24" s="7">
        <f>'Q.2.Input'!$C$8*'Q.2.Input'!K22</f>
        <v>493000000</v>
      </c>
      <c r="N24" s="7">
        <f>'Q.2.Input'!$C$9*I24</f>
        <v>63000</v>
      </c>
      <c r="O24" s="7">
        <f>'Q.2.Input'!$C$3*'Q.2.Input'!$C$7</f>
        <v>30000000</v>
      </c>
      <c r="P24" s="61">
        <v>0</v>
      </c>
      <c r="Q24" s="41">
        <f t="shared" si="1"/>
        <v>492169689.10093713</v>
      </c>
      <c r="R24" s="37">
        <f t="shared" si="2"/>
        <v>-35108586.16872517</v>
      </c>
      <c r="S24" s="37">
        <f t="shared" si="3"/>
        <v>527278275.26966232</v>
      </c>
      <c r="T24" s="5">
        <f t="shared" si="0"/>
        <v>8.6302266192926275E-2</v>
      </c>
      <c r="U24" s="14">
        <f t="shared" si="4"/>
        <v>36684833.023232542</v>
      </c>
    </row>
    <row r="25" spans="2:21" ht="15" thickBot="1" x14ac:dyDescent="0.4">
      <c r="B25" s="46">
        <f t="shared" si="5"/>
        <v>20</v>
      </c>
      <c r="C25" s="31">
        <v>0</v>
      </c>
      <c r="D25" s="32">
        <v>0</v>
      </c>
      <c r="E25" s="32">
        <f>-'Q.2.Input'!G23</f>
        <v>-25269501.953756396</v>
      </c>
      <c r="F25" s="33">
        <f>-'Q.2.Input'!H23</f>
        <v>-11539301.554245964</v>
      </c>
      <c r="G25" s="31">
        <f t="shared" si="6"/>
        <v>3086867110.045826</v>
      </c>
      <c r="H25" s="32">
        <f>'Q.2.Input'!I23</f>
        <v>276564691.05252028</v>
      </c>
      <c r="I25" s="32">
        <f>'Q.2.Input'!J23</f>
        <v>11400000</v>
      </c>
      <c r="J25" s="33">
        <f t="shared" si="7"/>
        <v>3352031801.0983462</v>
      </c>
      <c r="K25" s="31">
        <f>-SUM(G25:H25)*'Q.2.Input'!L23</f>
        <v>-214250605.72996467</v>
      </c>
      <c r="L25" s="32">
        <f>SUM(G25:H25)*80%*('Q.2.Input'!L23+2%)</f>
        <v>225215393.40154532</v>
      </c>
      <c r="M25" s="32">
        <f>'Q.2.Input'!$C$8*'Q.2.Input'!K23</f>
        <v>519000000</v>
      </c>
      <c r="N25" s="32">
        <f>'Q.2.Input'!$C$9*I25</f>
        <v>57000</v>
      </c>
      <c r="O25" s="32">
        <f>'Q.2.Input'!$C$3*'Q.2.Input'!$C$7</f>
        <v>30000000</v>
      </c>
      <c r="P25" s="62">
        <f>L25*5</f>
        <v>1126076967.0077267</v>
      </c>
      <c r="Q25" s="66">
        <f t="shared" si="1"/>
        <v>1649289951.1713049</v>
      </c>
      <c r="R25" s="37">
        <f t="shared" si="2"/>
        <v>-36808803.508002356</v>
      </c>
      <c r="S25" s="37">
        <f t="shared" si="3"/>
        <v>1686098754.6793075</v>
      </c>
      <c r="T25" s="5">
        <f t="shared" si="0"/>
        <v>7.5320348732577869E-2</v>
      </c>
      <c r="U25" s="14">
        <f t="shared" si="4"/>
        <v>108064724.09194896</v>
      </c>
    </row>
    <row r="26" spans="2:21" ht="15" thickBot="1" x14ac:dyDescent="0.4">
      <c r="B26" s="46">
        <f t="shared" si="5"/>
        <v>21</v>
      </c>
      <c r="T26" s="5">
        <f t="shared" si="0"/>
        <v>6.5735874426691945E-2</v>
      </c>
    </row>
    <row r="27" spans="2:21" x14ac:dyDescent="0.35">
      <c r="K27" s="98"/>
      <c r="L27" s="98"/>
      <c r="M27" s="98"/>
      <c r="N27" s="98"/>
      <c r="O27" s="98"/>
    </row>
    <row r="28" spans="2:21" x14ac:dyDescent="0.35">
      <c r="K28" s="96"/>
      <c r="L28" s="96"/>
      <c r="M28" s="96"/>
      <c r="N28" s="96"/>
      <c r="O28" s="96"/>
    </row>
    <row r="29" spans="2:21" x14ac:dyDescent="0.35">
      <c r="K29" s="99"/>
      <c r="L29" s="99"/>
      <c r="M29" s="99"/>
      <c r="N29" s="99"/>
      <c r="O29" s="99"/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52BE-09FA-47CB-B372-6AE399E5FFE2}">
  <dimension ref="B4:K11"/>
  <sheetViews>
    <sheetView showGridLines="0" zoomScaleNormal="100" workbookViewId="0"/>
  </sheetViews>
  <sheetFormatPr defaultRowHeight="14.5" x14ac:dyDescent="0.35"/>
  <cols>
    <col min="11" max="11" width="8.81640625" style="96"/>
  </cols>
  <sheetData>
    <row r="4" spans="2:3" x14ac:dyDescent="0.35">
      <c r="B4" t="s">
        <v>84</v>
      </c>
      <c r="C4" t="s">
        <v>85</v>
      </c>
    </row>
    <row r="5" spans="2:3" x14ac:dyDescent="0.35">
      <c r="C5" t="s">
        <v>86</v>
      </c>
    </row>
    <row r="7" spans="2:3" x14ac:dyDescent="0.35">
      <c r="B7" t="s">
        <v>87</v>
      </c>
      <c r="C7" t="s">
        <v>88</v>
      </c>
    </row>
    <row r="8" spans="2:3" x14ac:dyDescent="0.35">
      <c r="C8" t="s">
        <v>89</v>
      </c>
    </row>
    <row r="10" spans="2:3" x14ac:dyDescent="0.35">
      <c r="B10" t="s">
        <v>90</v>
      </c>
      <c r="C10" t="s">
        <v>91</v>
      </c>
    </row>
    <row r="11" spans="2:3" x14ac:dyDescent="0.35">
      <c r="C11" t="s">
        <v>89</v>
      </c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A97B-421E-449D-B909-3D365F24816B}">
  <dimension ref="A1:AE36"/>
  <sheetViews>
    <sheetView showGridLines="0" zoomScaleNormal="100" workbookViewId="0"/>
  </sheetViews>
  <sheetFormatPr defaultRowHeight="14.5" x14ac:dyDescent="0.35"/>
  <cols>
    <col min="1" max="1" width="12.1796875" bestFit="1" customWidth="1"/>
    <col min="3" max="3" width="17.1796875" bestFit="1" customWidth="1"/>
    <col min="4" max="4" width="15.54296875" bestFit="1" customWidth="1"/>
    <col min="5" max="5" width="14.54296875" bestFit="1" customWidth="1"/>
    <col min="6" max="6" width="14.453125" bestFit="1" customWidth="1"/>
    <col min="7" max="7" width="16.36328125" bestFit="1" customWidth="1"/>
    <col min="8" max="8" width="15" bestFit="1" customWidth="1"/>
    <col min="9" max="9" width="12.90625" customWidth="1"/>
    <col min="10" max="10" width="16.36328125" bestFit="1" customWidth="1"/>
    <col min="11" max="11" width="15.453125" bestFit="1" customWidth="1"/>
    <col min="12" max="12" width="15.1796875" bestFit="1" customWidth="1"/>
    <col min="13" max="13" width="14.90625" bestFit="1" customWidth="1"/>
    <col min="14" max="14" width="11.08984375" customWidth="1"/>
    <col min="15" max="15" width="13.90625" bestFit="1" customWidth="1"/>
    <col min="16" max="16" width="16.453125" bestFit="1" customWidth="1"/>
    <col min="17" max="17" width="17.1796875" bestFit="1" customWidth="1"/>
    <col min="18" max="18" width="14.453125" bestFit="1" customWidth="1"/>
    <col min="19" max="19" width="13.81640625" bestFit="1" customWidth="1"/>
    <col min="20" max="20" width="11.81640625" customWidth="1"/>
    <col min="21" max="21" width="17.08984375" bestFit="1" customWidth="1"/>
    <col min="31" max="31" width="22.453125" customWidth="1"/>
  </cols>
  <sheetData>
    <row r="1" spans="1:31" x14ac:dyDescent="0.35">
      <c r="A1" s="2" t="s">
        <v>76</v>
      </c>
      <c r="B1" s="68">
        <v>0.12</v>
      </c>
    </row>
    <row r="2" spans="1:31" x14ac:dyDescent="0.35">
      <c r="G2" s="69" t="s">
        <v>81</v>
      </c>
      <c r="H2" s="70">
        <f>SUM(U6:U35)</f>
        <v>669010162.42223406</v>
      </c>
      <c r="I2" s="96"/>
    </row>
    <row r="4" spans="1:31" ht="15" thickBot="1" x14ac:dyDescent="0.4">
      <c r="P4" s="96"/>
      <c r="Q4" s="96"/>
      <c r="R4" s="102"/>
      <c r="S4" s="96"/>
      <c r="T4" s="96"/>
      <c r="U4" s="102"/>
    </row>
    <row r="5" spans="1:31" ht="44" thickBot="1" x14ac:dyDescent="0.4">
      <c r="B5" s="52" t="s">
        <v>55</v>
      </c>
      <c r="C5" s="53" t="s">
        <v>63</v>
      </c>
      <c r="D5" s="54" t="s">
        <v>64</v>
      </c>
      <c r="E5" s="54" t="s">
        <v>56</v>
      </c>
      <c r="F5" s="55" t="s">
        <v>58</v>
      </c>
      <c r="G5" s="56" t="s">
        <v>67</v>
      </c>
      <c r="H5" s="57" t="s">
        <v>68</v>
      </c>
      <c r="I5" s="57" t="s">
        <v>59</v>
      </c>
      <c r="J5" s="58" t="s">
        <v>69</v>
      </c>
      <c r="K5" s="56" t="s">
        <v>65</v>
      </c>
      <c r="L5" s="57" t="s">
        <v>66</v>
      </c>
      <c r="M5" s="57" t="s">
        <v>70</v>
      </c>
      <c r="N5" s="57" t="s">
        <v>72</v>
      </c>
      <c r="O5" s="47" t="s">
        <v>73</v>
      </c>
      <c r="P5" s="63" t="s">
        <v>74</v>
      </c>
      <c r="Q5" s="64" t="s">
        <v>75</v>
      </c>
      <c r="R5" s="10" t="s">
        <v>79</v>
      </c>
      <c r="S5" s="10" t="s">
        <v>78</v>
      </c>
      <c r="T5" s="10" t="s">
        <v>77</v>
      </c>
      <c r="U5" s="10" t="s">
        <v>80</v>
      </c>
    </row>
    <row r="6" spans="1:31" x14ac:dyDescent="0.35">
      <c r="B6" s="48">
        <v>1</v>
      </c>
      <c r="C6" s="49">
        <f>-'Q.2.Input'!C3</f>
        <v>-1000000000</v>
      </c>
      <c r="D6" s="50">
        <f>-'Q.2.Input'!C4</f>
        <v>-200000000</v>
      </c>
      <c r="E6" s="50">
        <f>-'Q.2.Input'!G4</f>
        <v>-10000000</v>
      </c>
      <c r="F6" s="51">
        <f>-'Q.2.Input'!H4</f>
        <v>-5000000</v>
      </c>
      <c r="G6" s="49">
        <v>0</v>
      </c>
      <c r="H6" s="50">
        <f>'Q.2.Input'!I4</f>
        <v>100000000</v>
      </c>
      <c r="I6" s="50">
        <f>'Q.2.Input'!J4</f>
        <v>4900000</v>
      </c>
      <c r="J6" s="51">
        <f>G6+H6-I6</f>
        <v>95100000</v>
      </c>
      <c r="K6" s="49">
        <f>-SUM(G6:H6)*'Q.2.Input'!L4</f>
        <v>-6730000</v>
      </c>
      <c r="L6" s="50">
        <f>SUM(G6:H6)*80%*('Q.2.Input'!L4+2%)</f>
        <v>6984000</v>
      </c>
      <c r="M6" s="50">
        <f>'Q.2.Input'!$C$8*'Q.2.Input'!K4</f>
        <v>25000000</v>
      </c>
      <c r="N6" s="50">
        <f>'Q.2.Input'!$C$9*I6</f>
        <v>24500</v>
      </c>
      <c r="O6" s="7">
        <f>'Q.2.Input'!$C$3*'Q.2.Input'!$C$7</f>
        <v>30000000</v>
      </c>
      <c r="P6" s="60">
        <v>0</v>
      </c>
      <c r="Q6" s="65">
        <f>SUM(C6:F6,K6:P6)</f>
        <v>-1159721500</v>
      </c>
      <c r="R6" s="37">
        <f>SUM(C6:F6)</f>
        <v>-1215000000</v>
      </c>
      <c r="S6" s="37">
        <f>SUM(K6:P6)</f>
        <v>55278500</v>
      </c>
      <c r="T6" s="5">
        <f t="shared" ref="T6:T24" si="0">(1+$B$1)^-(B6-1)</f>
        <v>1</v>
      </c>
      <c r="U6" s="14">
        <f>R6*T6+S6*T7</f>
        <v>-1165644196.4285715</v>
      </c>
      <c r="W6" s="72" t="s">
        <v>139</v>
      </c>
      <c r="AE6" s="96"/>
    </row>
    <row r="7" spans="1:31" x14ac:dyDescent="0.35">
      <c r="B7" s="45">
        <f>B6+1</f>
        <v>2</v>
      </c>
      <c r="C7" s="29">
        <v>0</v>
      </c>
      <c r="D7" s="7">
        <v>0</v>
      </c>
      <c r="E7" s="7">
        <f>-'Q.2.Input'!G5</f>
        <v>-10500000</v>
      </c>
      <c r="F7" s="30">
        <f>-'Q.2.Input'!H5</f>
        <v>-5225000</v>
      </c>
      <c r="G7" s="29">
        <f>J6</f>
        <v>95100000</v>
      </c>
      <c r="H7" s="7">
        <f>'Q.2.Input'!I5</f>
        <v>105500000</v>
      </c>
      <c r="I7" s="7">
        <f>'Q.2.Input'!J5</f>
        <v>3200000</v>
      </c>
      <c r="J7" s="30">
        <f>G7+H7-I7</f>
        <v>197400000</v>
      </c>
      <c r="K7" s="29">
        <f>-SUM(G7:H7)*'Q.2.Input'!L5</f>
        <v>-14423140.000000002</v>
      </c>
      <c r="L7" s="7">
        <f>SUM(G7:H7)*80%*('Q.2.Input'!L5+2%)</f>
        <v>14748112.000000002</v>
      </c>
      <c r="M7" s="7">
        <f>'Q.2.Input'!$C$8*'Q.2.Input'!K5</f>
        <v>51000000</v>
      </c>
      <c r="N7" s="7">
        <f>'Q.2.Input'!$C$9*I7</f>
        <v>16000</v>
      </c>
      <c r="O7" s="7">
        <f>'Q.2.Input'!$C$3*'Q.2.Input'!$C$7</f>
        <v>30000000</v>
      </c>
      <c r="P7" s="61">
        <v>0</v>
      </c>
      <c r="Q7" s="41">
        <f t="shared" ref="Q7:Q24" si="1">SUM(C7:F7,K7:P7)</f>
        <v>65615972</v>
      </c>
      <c r="R7" s="37">
        <f t="shared" ref="R7:R24" si="2">SUM(C7:F7)</f>
        <v>-15725000</v>
      </c>
      <c r="S7" s="37">
        <f t="shared" ref="S7:S24" si="3">SUM(K7:P7)</f>
        <v>81340972</v>
      </c>
      <c r="T7" s="5">
        <f t="shared" si="0"/>
        <v>0.89285714285714279</v>
      </c>
      <c r="U7" s="14">
        <f t="shared" ref="U7:U24" si="4">R7*T7+S7*T8</f>
        <v>50804346.301020399</v>
      </c>
      <c r="W7" s="72" t="s">
        <v>140</v>
      </c>
      <c r="AE7" s="96"/>
    </row>
    <row r="8" spans="1:31" x14ac:dyDescent="0.35">
      <c r="B8" s="45">
        <f t="shared" ref="B8:B36" si="5">B7+1</f>
        <v>3</v>
      </c>
      <c r="C8" s="29">
        <v>0</v>
      </c>
      <c r="D8" s="7">
        <v>0</v>
      </c>
      <c r="E8" s="7">
        <f>-'Q.2.Input'!G6</f>
        <v>-11025000</v>
      </c>
      <c r="F8" s="30">
        <f>-'Q.2.Input'!H6</f>
        <v>-5460125</v>
      </c>
      <c r="G8" s="29">
        <f t="shared" ref="G8:G24" si="6">J7</f>
        <v>197400000</v>
      </c>
      <c r="H8" s="7">
        <f>'Q.2.Input'!I6</f>
        <v>111302500</v>
      </c>
      <c r="I8" s="7">
        <f>'Q.2.Input'!J6</f>
        <v>3500000</v>
      </c>
      <c r="J8" s="30">
        <f t="shared" ref="J8:J24" si="7">G8+H8-I8</f>
        <v>305202500</v>
      </c>
      <c r="K8" s="29">
        <f>-SUM(G8:H8)*'Q.2.Input'!L6</f>
        <v>-18861722.75</v>
      </c>
      <c r="L8" s="7">
        <f>SUM(G8:H8)*80%*('Q.2.Input'!L6+2%)</f>
        <v>20028618.200000003</v>
      </c>
      <c r="M8" s="7">
        <f>'Q.2.Input'!$C$8*'Q.2.Input'!K6</f>
        <v>77000000</v>
      </c>
      <c r="N8" s="7">
        <f>'Q.2.Input'!$C$9*I8</f>
        <v>17500</v>
      </c>
      <c r="O8" s="7">
        <f>'Q.2.Input'!$C$3*'Q.2.Input'!$C$7</f>
        <v>30000000</v>
      </c>
      <c r="P8" s="61">
        <v>0</v>
      </c>
      <c r="Q8" s="41">
        <f t="shared" si="1"/>
        <v>91699270.450000003</v>
      </c>
      <c r="R8" s="37">
        <f t="shared" si="2"/>
        <v>-16485125</v>
      </c>
      <c r="S8" s="37">
        <f t="shared" si="3"/>
        <v>108184395.45</v>
      </c>
      <c r="T8" s="5">
        <f t="shared" si="0"/>
        <v>0.79719387755102034</v>
      </c>
      <c r="U8" s="14">
        <f t="shared" si="4"/>
        <v>63861675.082281783</v>
      </c>
      <c r="W8" s="72" t="s">
        <v>141</v>
      </c>
      <c r="AE8" s="96"/>
    </row>
    <row r="9" spans="1:31" x14ac:dyDescent="0.35">
      <c r="B9" s="45">
        <f t="shared" si="5"/>
        <v>4</v>
      </c>
      <c r="C9" s="29">
        <v>0</v>
      </c>
      <c r="D9" s="7">
        <v>0</v>
      </c>
      <c r="E9" s="7">
        <f>-'Q.2.Input'!G7</f>
        <v>-11576250</v>
      </c>
      <c r="F9" s="30">
        <f>-'Q.2.Input'!H7</f>
        <v>-5705830.625</v>
      </c>
      <c r="G9" s="29">
        <f t="shared" si="6"/>
        <v>305202500</v>
      </c>
      <c r="H9" s="7">
        <f>'Q.2.Input'!I7</f>
        <v>117424137.5</v>
      </c>
      <c r="I9" s="7">
        <f>'Q.2.Input'!J7</f>
        <v>5300000</v>
      </c>
      <c r="J9" s="30">
        <f t="shared" si="7"/>
        <v>417326637.5</v>
      </c>
      <c r="K9" s="29">
        <f>-SUM(G9:H9)*'Q.2.Input'!L7</f>
        <v>-29668389.952500001</v>
      </c>
      <c r="L9" s="7">
        <f>SUM(G9:H9)*80%*('Q.2.Input'!L7+2%)</f>
        <v>30496738.162</v>
      </c>
      <c r="M9" s="7">
        <f>'Q.2.Input'!$C$8*'Q.2.Input'!K7</f>
        <v>103000000</v>
      </c>
      <c r="N9" s="7">
        <f>'Q.2.Input'!$C$9*I9</f>
        <v>26500</v>
      </c>
      <c r="O9" s="7">
        <f>'Q.2.Input'!$C$3*'Q.2.Input'!$C$7</f>
        <v>30000000</v>
      </c>
      <c r="P9" s="61">
        <v>0</v>
      </c>
      <c r="Q9" s="41">
        <f t="shared" si="1"/>
        <v>116572767.5845</v>
      </c>
      <c r="R9" s="37">
        <f t="shared" si="2"/>
        <v>-17282080.625</v>
      </c>
      <c r="S9" s="37">
        <f t="shared" si="3"/>
        <v>133854848.2095</v>
      </c>
      <c r="T9" s="5">
        <f t="shared" si="0"/>
        <v>0.71178024781341087</v>
      </c>
      <c r="U9" s="14">
        <f t="shared" si="4"/>
        <v>72766132.289277956</v>
      </c>
      <c r="W9" s="72" t="s">
        <v>142</v>
      </c>
      <c r="AE9" s="96"/>
    </row>
    <row r="10" spans="1:31" x14ac:dyDescent="0.35">
      <c r="B10" s="45">
        <f t="shared" si="5"/>
        <v>5</v>
      </c>
      <c r="C10" s="29">
        <v>0</v>
      </c>
      <c r="D10" s="7">
        <v>0</v>
      </c>
      <c r="E10" s="7">
        <f>-'Q.2.Input'!G8</f>
        <v>-12155062.5</v>
      </c>
      <c r="F10" s="30">
        <f>-'Q.2.Input'!H8</f>
        <v>-5962593.0031249998</v>
      </c>
      <c r="G10" s="29">
        <f t="shared" si="6"/>
        <v>417326637.5</v>
      </c>
      <c r="H10" s="7">
        <f>'Q.2.Input'!I8</f>
        <v>123882465.0625</v>
      </c>
      <c r="I10" s="7">
        <f>'Q.2.Input'!J8</f>
        <v>3100000</v>
      </c>
      <c r="J10" s="30">
        <f t="shared" si="7"/>
        <v>538109102.5625</v>
      </c>
      <c r="K10" s="29">
        <f>-SUM(G10:H10)*'Q.2.Input'!L8</f>
        <v>-35286833.487074994</v>
      </c>
      <c r="L10" s="7">
        <f>SUM(G10:H10)*80%*('Q.2.Input'!L8+2%)</f>
        <v>36888812.430660002</v>
      </c>
      <c r="M10" s="7">
        <f>'Q.2.Input'!$C$8*'Q.2.Input'!K8</f>
        <v>129000000</v>
      </c>
      <c r="N10" s="7">
        <f>'Q.2.Input'!$C$9*I10</f>
        <v>15500</v>
      </c>
      <c r="O10" s="7">
        <f>'Q.2.Input'!$C$3*'Q.2.Input'!$C$7</f>
        <v>30000000</v>
      </c>
      <c r="P10" s="61">
        <v>0</v>
      </c>
      <c r="Q10" s="41">
        <f t="shared" si="1"/>
        <v>142499823.44046</v>
      </c>
      <c r="R10" s="37">
        <f t="shared" si="2"/>
        <v>-18117655.503125001</v>
      </c>
      <c r="S10" s="37">
        <f t="shared" si="3"/>
        <v>160617478.94358501</v>
      </c>
      <c r="T10" s="5">
        <f t="shared" si="0"/>
        <v>0.63551807840483121</v>
      </c>
      <c r="U10" s="14">
        <f t="shared" si="4"/>
        <v>79624573.439860046</v>
      </c>
      <c r="W10" s="72" t="s">
        <v>143</v>
      </c>
    </row>
    <row r="11" spans="1:31" x14ac:dyDescent="0.35">
      <c r="B11" s="45">
        <f t="shared" si="5"/>
        <v>6</v>
      </c>
      <c r="C11" s="29">
        <v>0</v>
      </c>
      <c r="D11" s="7">
        <v>0</v>
      </c>
      <c r="E11" s="7">
        <f>-'Q.2.Input'!G9</f>
        <v>-12762815.625</v>
      </c>
      <c r="F11" s="30">
        <f>-'Q.2.Input'!H9</f>
        <v>-6230909.6882656245</v>
      </c>
      <c r="G11" s="29">
        <f t="shared" si="6"/>
        <v>538109102.5625</v>
      </c>
      <c r="H11" s="7">
        <f>'Q.2.Input'!I9</f>
        <v>130696000.64093749</v>
      </c>
      <c r="I11" s="7">
        <f>'Q.2.Input'!J9</f>
        <v>4800000</v>
      </c>
      <c r="J11" s="30">
        <f t="shared" si="7"/>
        <v>664005103.20343745</v>
      </c>
      <c r="K11" s="29">
        <f>-SUM(G11:H11)*'Q.2.Input'!L9</f>
        <v>-49224055.595772997</v>
      </c>
      <c r="L11" s="7">
        <f>SUM(G11:H11)*80%*('Q.2.Input'!L9+2%)</f>
        <v>50080126.127873398</v>
      </c>
      <c r="M11" s="7">
        <f>'Q.2.Input'!$C$8*'Q.2.Input'!K9</f>
        <v>155000000</v>
      </c>
      <c r="N11" s="7">
        <f>'Q.2.Input'!$C$9*I11</f>
        <v>24000</v>
      </c>
      <c r="O11" s="7">
        <f>'Q.2.Input'!$C$3*'Q.2.Input'!$C$7</f>
        <v>30000000</v>
      </c>
      <c r="P11" s="61">
        <v>0</v>
      </c>
      <c r="Q11" s="41">
        <f t="shared" si="1"/>
        <v>166886345.21883479</v>
      </c>
      <c r="R11" s="37">
        <f t="shared" si="2"/>
        <v>-18993725.313265625</v>
      </c>
      <c r="S11" s="37">
        <f t="shared" si="3"/>
        <v>185880070.53210041</v>
      </c>
      <c r="T11" s="5">
        <f t="shared" si="0"/>
        <v>0.56742685571859919</v>
      </c>
      <c r="U11" s="14">
        <f t="shared" si="4"/>
        <v>83395078.705308393</v>
      </c>
    </row>
    <row r="12" spans="1:31" x14ac:dyDescent="0.35">
      <c r="B12" s="45">
        <f t="shared" si="5"/>
        <v>7</v>
      </c>
      <c r="C12" s="29">
        <v>0</v>
      </c>
      <c r="D12" s="7">
        <v>0</v>
      </c>
      <c r="E12" s="7">
        <f>-'Q.2.Input'!G10</f>
        <v>-13400956.40625</v>
      </c>
      <c r="F12" s="30">
        <f>-'Q.2.Input'!H10</f>
        <v>-6511300.6242375774</v>
      </c>
      <c r="G12" s="29">
        <f t="shared" si="6"/>
        <v>664005103.20343745</v>
      </c>
      <c r="H12" s="7">
        <f>'Q.2.Input'!I10</f>
        <v>137884280.67618904</v>
      </c>
      <c r="I12" s="7">
        <f>'Q.2.Input'!J10</f>
        <v>4400000</v>
      </c>
      <c r="J12" s="30">
        <f t="shared" si="7"/>
        <v>797489383.87962651</v>
      </c>
      <c r="K12" s="29">
        <f>-SUM(G12:H12)*'Q.2.Input'!L10</f>
        <v>-63349261.326490492</v>
      </c>
      <c r="L12" s="7">
        <f>SUM(G12:H12)*80%*('Q.2.Input'!L10+2%)</f>
        <v>63509639.203266427</v>
      </c>
      <c r="M12" s="7">
        <f>'Q.2.Input'!$C$8*'Q.2.Input'!K10</f>
        <v>181000000</v>
      </c>
      <c r="N12" s="7">
        <f>'Q.2.Input'!$C$9*I12</f>
        <v>22000</v>
      </c>
      <c r="O12" s="7">
        <f>'Q.2.Input'!$C$3*'Q.2.Input'!$C$7</f>
        <v>30000000</v>
      </c>
      <c r="P12" s="61">
        <v>0</v>
      </c>
      <c r="Q12" s="41">
        <f t="shared" si="1"/>
        <v>191270120.84628835</v>
      </c>
      <c r="R12" s="37">
        <f t="shared" si="2"/>
        <v>-19912257.030487578</v>
      </c>
      <c r="S12" s="37">
        <f t="shared" si="3"/>
        <v>211182377.87677592</v>
      </c>
      <c r="T12" s="5">
        <f t="shared" si="0"/>
        <v>0.50663112117732068</v>
      </c>
      <c r="U12" s="14">
        <f t="shared" si="4"/>
        <v>85440013.821012005</v>
      </c>
      <c r="W12" s="96"/>
    </row>
    <row r="13" spans="1:31" x14ac:dyDescent="0.35">
      <c r="B13" s="45">
        <f t="shared" si="5"/>
        <v>8</v>
      </c>
      <c r="C13" s="29">
        <v>0</v>
      </c>
      <c r="D13" s="7">
        <v>0</v>
      </c>
      <c r="E13" s="7">
        <f>-'Q.2.Input'!G11</f>
        <v>-14071004.2265625</v>
      </c>
      <c r="F13" s="30">
        <f>-'Q.2.Input'!H11</f>
        <v>-6804309.1523282677</v>
      </c>
      <c r="G13" s="29">
        <f t="shared" si="6"/>
        <v>797489383.87962651</v>
      </c>
      <c r="H13" s="7">
        <f>'Q.2.Input'!I11</f>
        <v>145467916.11337942</v>
      </c>
      <c r="I13" s="7">
        <f>'Q.2.Input'!J11</f>
        <v>6100000</v>
      </c>
      <c r="J13" s="30">
        <f t="shared" si="7"/>
        <v>936857299.99300599</v>
      </c>
      <c r="K13" s="29">
        <f>-SUM(G13:H13)*'Q.2.Input'!L11</f>
        <v>-65535532.349513926</v>
      </c>
      <c r="L13" s="7">
        <f>SUM(G13:H13)*80%*('Q.2.Input'!L11+2%)</f>
        <v>67515742.679499239</v>
      </c>
      <c r="M13" s="7">
        <f>'Q.2.Input'!$C$8*'Q.2.Input'!K11</f>
        <v>207000000</v>
      </c>
      <c r="N13" s="7">
        <f>'Q.2.Input'!$C$9*I13</f>
        <v>30500</v>
      </c>
      <c r="O13" s="7">
        <f>'Q.2.Input'!$C$3*'Q.2.Input'!$C$7</f>
        <v>30000000</v>
      </c>
      <c r="P13" s="61">
        <v>0</v>
      </c>
      <c r="Q13" s="41">
        <f t="shared" si="1"/>
        <v>218135396.95109454</v>
      </c>
      <c r="R13" s="37">
        <f t="shared" si="2"/>
        <v>-20875313.378890768</v>
      </c>
      <c r="S13" s="37">
        <f t="shared" si="3"/>
        <v>239010710.32998532</v>
      </c>
      <c r="T13" s="5">
        <f t="shared" si="0"/>
        <v>0.45234921533689343</v>
      </c>
      <c r="U13" s="14">
        <f t="shared" si="4"/>
        <v>87089485.58286342</v>
      </c>
    </row>
    <row r="14" spans="1:31" x14ac:dyDescent="0.35">
      <c r="B14" s="45">
        <f t="shared" si="5"/>
        <v>9</v>
      </c>
      <c r="C14" s="29">
        <v>0</v>
      </c>
      <c r="D14" s="7">
        <v>0</v>
      </c>
      <c r="E14" s="7">
        <f>-'Q.2.Input'!G12</f>
        <v>-14774554.437890626</v>
      </c>
      <c r="F14" s="30">
        <f>-'Q.2.Input'!H12</f>
        <v>-7110503.0641830396</v>
      </c>
      <c r="G14" s="29">
        <f t="shared" si="6"/>
        <v>936857299.99300599</v>
      </c>
      <c r="H14" s="7">
        <f>'Q.2.Input'!I12</f>
        <v>153468651.49961528</v>
      </c>
      <c r="I14" s="7">
        <f>'Q.2.Input'!J12</f>
        <v>5500000</v>
      </c>
      <c r="J14" s="30">
        <f t="shared" si="7"/>
        <v>1084825951.4926212</v>
      </c>
      <c r="K14" s="29">
        <f>-SUM(G14:H14)*'Q.2.Input'!L12</f>
        <v>-74469262.486946031</v>
      </c>
      <c r="L14" s="7">
        <f>SUM(G14:H14)*80%*('Q.2.Input'!L12+2%)</f>
        <v>77020625.213438779</v>
      </c>
      <c r="M14" s="7">
        <f>'Q.2.Input'!$C$8*'Q.2.Input'!K12</f>
        <v>233000000</v>
      </c>
      <c r="N14" s="7">
        <f>'Q.2.Input'!$C$9*I14</f>
        <v>27500</v>
      </c>
      <c r="O14" s="7">
        <f>'Q.2.Input'!$C$3*'Q.2.Input'!$C$7</f>
        <v>30000000</v>
      </c>
      <c r="P14" s="61">
        <v>0</v>
      </c>
      <c r="Q14" s="41">
        <f t="shared" si="1"/>
        <v>243693805.22441909</v>
      </c>
      <c r="R14" s="37">
        <f t="shared" si="2"/>
        <v>-21885057.502073668</v>
      </c>
      <c r="S14" s="37">
        <f t="shared" si="3"/>
        <v>265578862.72649276</v>
      </c>
      <c r="T14" s="5">
        <f t="shared" si="0"/>
        <v>0.4038832279793691</v>
      </c>
      <c r="U14" s="14">
        <f t="shared" si="4"/>
        <v>86931392.653928429</v>
      </c>
    </row>
    <row r="15" spans="1:31" x14ac:dyDescent="0.35">
      <c r="B15" s="45">
        <f t="shared" si="5"/>
        <v>10</v>
      </c>
      <c r="C15" s="29">
        <v>0</v>
      </c>
      <c r="D15" s="7">
        <v>0</v>
      </c>
      <c r="E15" s="7">
        <f>-'Q.2.Input'!G13</f>
        <v>-15513282.159785159</v>
      </c>
      <c r="F15" s="30">
        <f>-'Q.2.Input'!H13</f>
        <v>-7430475.7020712756</v>
      </c>
      <c r="G15" s="29">
        <f t="shared" si="6"/>
        <v>1084825951.4926212</v>
      </c>
      <c r="H15" s="7">
        <f>'Q.2.Input'!I13</f>
        <v>161909427.3320941</v>
      </c>
      <c r="I15" s="7">
        <f>'Q.2.Input'!J13</f>
        <v>4700000</v>
      </c>
      <c r="J15" s="30">
        <f t="shared" si="7"/>
        <v>1242035378.8247154</v>
      </c>
      <c r="K15" s="29">
        <f>-SUM(G15:H15)*'Q.2.Input'!L13</f>
        <v>-84154638.070668295</v>
      </c>
      <c r="L15" s="7">
        <f>SUM(G15:H15)*80%*('Q.2.Input'!L13+2%)</f>
        <v>87271476.517730087</v>
      </c>
      <c r="M15" s="7">
        <f>'Q.2.Input'!$C$8*'Q.2.Input'!K13</f>
        <v>259000000</v>
      </c>
      <c r="N15" s="7">
        <f>'Q.2.Input'!$C$9*I15</f>
        <v>23500</v>
      </c>
      <c r="O15" s="7">
        <f>'Q.2.Input'!$C$3*'Q.2.Input'!$C$7</f>
        <v>30000000</v>
      </c>
      <c r="P15" s="61">
        <v>0</v>
      </c>
      <c r="Q15" s="41">
        <f t="shared" si="1"/>
        <v>269196580.58520538</v>
      </c>
      <c r="R15" s="37">
        <f t="shared" si="2"/>
        <v>-22943757.861856434</v>
      </c>
      <c r="S15" s="37">
        <f t="shared" si="3"/>
        <v>292140338.44706178</v>
      </c>
      <c r="T15" s="5">
        <f t="shared" si="0"/>
        <v>0.36061002498157957</v>
      </c>
      <c r="U15" s="14">
        <f t="shared" si="4"/>
        <v>85787621.212766469</v>
      </c>
    </row>
    <row r="16" spans="1:31" x14ac:dyDescent="0.35">
      <c r="B16" s="45">
        <f t="shared" si="5"/>
        <v>11</v>
      </c>
      <c r="C16" s="29">
        <v>0</v>
      </c>
      <c r="D16" s="7">
        <v>0</v>
      </c>
      <c r="E16" s="7">
        <f>-'Q.2.Input'!G14</f>
        <v>-16288946.267774418</v>
      </c>
      <c r="F16" s="30">
        <f>-'Q.2.Input'!H14</f>
        <v>-7764847.1086644828</v>
      </c>
      <c r="G16" s="29">
        <f t="shared" si="6"/>
        <v>1242035378.8247154</v>
      </c>
      <c r="H16" s="7">
        <f>'Q.2.Input'!I14</f>
        <v>170814445.83535928</v>
      </c>
      <c r="I16" s="7">
        <f>'Q.2.Input'!J14</f>
        <v>6300000</v>
      </c>
      <c r="J16" s="30">
        <f t="shared" si="7"/>
        <v>1406549824.6600747</v>
      </c>
      <c r="K16" s="29">
        <f>-SUM(G16:H16)*'Q.2.Input'!L14</f>
        <v>-100171052.56839931</v>
      </c>
      <c r="L16" s="7">
        <f>SUM(G16:H16)*80%*('Q.2.Input'!L14+2%)</f>
        <v>102742439.24928065</v>
      </c>
      <c r="M16" s="7">
        <f>'Q.2.Input'!$C$8*'Q.2.Input'!K14</f>
        <v>285000000</v>
      </c>
      <c r="N16" s="7">
        <f>'Q.2.Input'!$C$9*I16</f>
        <v>31500</v>
      </c>
      <c r="O16" s="7">
        <f>'Q.2.Input'!$C$3*'Q.2.Input'!$C$7</f>
        <v>30000000</v>
      </c>
      <c r="P16" s="61">
        <v>0</v>
      </c>
      <c r="Q16" s="41">
        <f t="shared" si="1"/>
        <v>293549093.30444241</v>
      </c>
      <c r="R16" s="37">
        <f t="shared" si="2"/>
        <v>-24053793.376438901</v>
      </c>
      <c r="S16" s="37">
        <f t="shared" si="3"/>
        <v>317602886.68088132</v>
      </c>
      <c r="T16" s="5">
        <f t="shared" si="0"/>
        <v>0.32197323659069599</v>
      </c>
      <c r="U16" s="14">
        <f t="shared" si="4"/>
        <v>83558562.80786787</v>
      </c>
    </row>
    <row r="17" spans="2:21" x14ac:dyDescent="0.35">
      <c r="B17" s="45">
        <f t="shared" si="5"/>
        <v>12</v>
      </c>
      <c r="C17" s="29">
        <v>0</v>
      </c>
      <c r="D17" s="7">
        <v>0</v>
      </c>
      <c r="E17" s="7">
        <f>-'Q.2.Input'!G15</f>
        <v>-17103393.581163138</v>
      </c>
      <c r="F17" s="30">
        <f>-'Q.2.Input'!H15</f>
        <v>-8114265.2285543839</v>
      </c>
      <c r="G17" s="29">
        <f t="shared" si="6"/>
        <v>1406549824.6600747</v>
      </c>
      <c r="H17" s="7">
        <f>'Q.2.Input'!I15</f>
        <v>180209240.35630402</v>
      </c>
      <c r="I17" s="7">
        <f>'Q.2.Input'!J15</f>
        <v>5700000</v>
      </c>
      <c r="J17" s="30">
        <f t="shared" si="7"/>
        <v>1581059065.0163786</v>
      </c>
      <c r="K17" s="29">
        <f>-SUM(G17:H17)*'Q.2.Input'!L15</f>
        <v>-109327699.5796285</v>
      </c>
      <c r="L17" s="7">
        <f>SUM(G17:H17)*80%*('Q.2.Input'!L15+2%)</f>
        <v>112850304.70396486</v>
      </c>
      <c r="M17" s="7">
        <f>'Q.2.Input'!$C$8*'Q.2.Input'!K15</f>
        <v>311000000</v>
      </c>
      <c r="N17" s="7">
        <f>'Q.2.Input'!$C$9*I17</f>
        <v>28500</v>
      </c>
      <c r="O17" s="7">
        <f>'Q.2.Input'!$C$3*'Q.2.Input'!$C$7</f>
        <v>30000000</v>
      </c>
      <c r="P17" s="61">
        <v>0</v>
      </c>
      <c r="Q17" s="41">
        <f t="shared" si="1"/>
        <v>319333446.31461883</v>
      </c>
      <c r="R17" s="37">
        <f t="shared" si="2"/>
        <v>-25217658.809717521</v>
      </c>
      <c r="S17" s="37">
        <f t="shared" si="3"/>
        <v>344551105.12433636</v>
      </c>
      <c r="T17" s="5">
        <f t="shared" si="0"/>
        <v>0.28747610409883567</v>
      </c>
      <c r="U17" s="14">
        <f t="shared" si="4"/>
        <v>81188212.623114258</v>
      </c>
    </row>
    <row r="18" spans="2:21" x14ac:dyDescent="0.35">
      <c r="B18" s="45">
        <f t="shared" si="5"/>
        <v>13</v>
      </c>
      <c r="C18" s="29">
        <v>0</v>
      </c>
      <c r="D18" s="7">
        <v>0</v>
      </c>
      <c r="E18" s="7">
        <f>-'Q.2.Input'!G16</f>
        <v>-17958563.260221295</v>
      </c>
      <c r="F18" s="30">
        <f>-'Q.2.Input'!H16</f>
        <v>-8479407.1638393309</v>
      </c>
      <c r="G18" s="29">
        <f t="shared" si="6"/>
        <v>1581059065.0163786</v>
      </c>
      <c r="H18" s="7">
        <f>'Q.2.Input'!I16</f>
        <v>190120748.57590073</v>
      </c>
      <c r="I18" s="7">
        <f>'Q.2.Input'!J16</f>
        <v>9100000</v>
      </c>
      <c r="J18" s="30">
        <f t="shared" si="7"/>
        <v>1762079813.5922794</v>
      </c>
      <c r="K18" s="29">
        <f>-SUM(G18:H18)*'Q.2.Input'!L16</f>
        <v>-108750440.55456597</v>
      </c>
      <c r="L18" s="7">
        <f>SUM(G18:H18)*80%*('Q.2.Input'!L16+2%)</f>
        <v>115339229.46112925</v>
      </c>
      <c r="M18" s="7">
        <f>'Q.2.Input'!$C$8*'Q.2.Input'!K16</f>
        <v>337000000</v>
      </c>
      <c r="N18" s="7">
        <f>'Q.2.Input'!$C$9*I18</f>
        <v>45500</v>
      </c>
      <c r="O18" s="7">
        <f>'Q.2.Input'!$C$3*'Q.2.Input'!$C$7</f>
        <v>30000000</v>
      </c>
      <c r="P18" s="61">
        <v>0</v>
      </c>
      <c r="Q18" s="41">
        <f t="shared" si="1"/>
        <v>347196318.48250264</v>
      </c>
      <c r="R18" s="37">
        <f t="shared" si="2"/>
        <v>-26437970.424060628</v>
      </c>
      <c r="S18" s="37">
        <f t="shared" si="3"/>
        <v>373634288.90656328</v>
      </c>
      <c r="T18" s="5">
        <f t="shared" si="0"/>
        <v>0.25667509294538904</v>
      </c>
      <c r="U18" s="14">
        <f t="shared" si="4"/>
        <v>78841367.049006477</v>
      </c>
    </row>
    <row r="19" spans="2:21" x14ac:dyDescent="0.35">
      <c r="B19" s="45">
        <f t="shared" si="5"/>
        <v>14</v>
      </c>
      <c r="C19" s="29">
        <v>0</v>
      </c>
      <c r="D19" s="7">
        <v>0</v>
      </c>
      <c r="E19" s="7">
        <f>-'Q.2.Input'!G17</f>
        <v>-18856491.423232362</v>
      </c>
      <c r="F19" s="30">
        <f>-'Q.2.Input'!H17</f>
        <v>-8860980.4862121008</v>
      </c>
      <c r="G19" s="29">
        <f t="shared" si="6"/>
        <v>1762079813.5922794</v>
      </c>
      <c r="H19" s="7">
        <f>'Q.2.Input'!I17</f>
        <v>200577389.74757525</v>
      </c>
      <c r="I19" s="7">
        <f>'Q.2.Input'!J17</f>
        <v>9300000</v>
      </c>
      <c r="J19" s="30">
        <f t="shared" si="7"/>
        <v>1953357203.3398547</v>
      </c>
      <c r="K19" s="29">
        <f>-SUM(G19:H19)*'Q.2.Input'!L17</f>
        <v>-153283527.58084264</v>
      </c>
      <c r="L19" s="7">
        <f>SUM(G19:H19)*80%*('Q.2.Input'!L17+2%)</f>
        <v>154029337.31811181</v>
      </c>
      <c r="M19" s="7">
        <f>'Q.2.Input'!$C$8*'Q.2.Input'!K17</f>
        <v>363000000</v>
      </c>
      <c r="N19" s="7">
        <f>'Q.2.Input'!$C$9*I19</f>
        <v>46500</v>
      </c>
      <c r="O19" s="7">
        <f>'Q.2.Input'!$C$3*'Q.2.Input'!$C$7</f>
        <v>30000000</v>
      </c>
      <c r="P19" s="61">
        <v>0</v>
      </c>
      <c r="Q19" s="41">
        <f t="shared" si="1"/>
        <v>366074837.82782471</v>
      </c>
      <c r="R19" s="37">
        <f t="shared" si="2"/>
        <v>-27717471.909444463</v>
      </c>
      <c r="S19" s="37">
        <f t="shared" si="3"/>
        <v>393792309.73726916</v>
      </c>
      <c r="T19" s="5">
        <f t="shared" si="0"/>
        <v>0.22917419012981158</v>
      </c>
      <c r="U19" s="14">
        <f t="shared" si="4"/>
        <v>74225579.450730979</v>
      </c>
    </row>
    <row r="20" spans="2:21" x14ac:dyDescent="0.35">
      <c r="B20" s="45">
        <f t="shared" si="5"/>
        <v>15</v>
      </c>
      <c r="C20" s="29">
        <v>0</v>
      </c>
      <c r="D20" s="7">
        <v>0</v>
      </c>
      <c r="E20" s="7">
        <f>-'Q.2.Input'!G18</f>
        <v>-19799315.994393982</v>
      </c>
      <c r="F20" s="30">
        <f>-'Q.2.Input'!H18</f>
        <v>-9259724.6080916449</v>
      </c>
      <c r="G20" s="29">
        <f t="shared" si="6"/>
        <v>1953357203.3398547</v>
      </c>
      <c r="H20" s="7">
        <f>'Q.2.Input'!I18</f>
        <v>211609146.18369189</v>
      </c>
      <c r="I20" s="7">
        <f>'Q.2.Input'!J18</f>
        <v>7200000</v>
      </c>
      <c r="J20" s="30">
        <f t="shared" si="7"/>
        <v>2157766349.5235467</v>
      </c>
      <c r="K20" s="29">
        <f>-SUM(G20:H20)*'Q.2.Input'!L18</f>
        <v>-150681657.92683885</v>
      </c>
      <c r="L20" s="7">
        <f>SUM(G20:H20)*80%*('Q.2.Input'!L18+2%)</f>
        <v>155184787.93384781</v>
      </c>
      <c r="M20" s="7">
        <f>'Q.2.Input'!$C$8*'Q.2.Input'!K18</f>
        <v>389000000</v>
      </c>
      <c r="N20" s="7">
        <f>'Q.2.Input'!$C$9*I20</f>
        <v>36000</v>
      </c>
      <c r="O20" s="7">
        <f>'Q.2.Input'!$C$3*'Q.2.Input'!$C$7</f>
        <v>30000000</v>
      </c>
      <c r="P20" s="61">
        <v>0</v>
      </c>
      <c r="Q20" s="41">
        <f t="shared" si="1"/>
        <v>394480089.40452337</v>
      </c>
      <c r="R20" s="37">
        <f t="shared" si="2"/>
        <v>-29059040.602485627</v>
      </c>
      <c r="S20" s="37">
        <f t="shared" si="3"/>
        <v>423539130.00700897</v>
      </c>
      <c r="T20" s="5">
        <f t="shared" si="0"/>
        <v>0.20461981261590317</v>
      </c>
      <c r="U20" s="14">
        <f t="shared" si="4"/>
        <v>71432960.108493641</v>
      </c>
    </row>
    <row r="21" spans="2:21" x14ac:dyDescent="0.35">
      <c r="B21" s="45">
        <f t="shared" si="5"/>
        <v>16</v>
      </c>
      <c r="C21" s="29">
        <v>0</v>
      </c>
      <c r="D21" s="7">
        <v>0</v>
      </c>
      <c r="E21" s="7">
        <f>-'Q.2.Input'!G19</f>
        <v>-20789281.794113681</v>
      </c>
      <c r="F21" s="30">
        <f>-'Q.2.Input'!H19</f>
        <v>-9676412.2154557686</v>
      </c>
      <c r="G21" s="29">
        <f t="shared" si="6"/>
        <v>2157766349.5235467</v>
      </c>
      <c r="H21" s="7">
        <f>'Q.2.Input'!I19</f>
        <v>223247649.22379494</v>
      </c>
      <c r="I21" s="7">
        <f>'Q.2.Input'!J19</f>
        <v>11100000</v>
      </c>
      <c r="J21" s="30">
        <f t="shared" si="7"/>
        <v>2369913998.7473416</v>
      </c>
      <c r="K21" s="29">
        <f>-SUM(G21:H21)*'Q.2.Input'!L19</f>
        <v>-154765909.91857722</v>
      </c>
      <c r="L21" s="7">
        <f>SUM(G21:H21)*80%*('Q.2.Input'!L19+2%)</f>
        <v>161908951.91481924</v>
      </c>
      <c r="M21" s="7">
        <f>'Q.2.Input'!$C$8*'Q.2.Input'!K19</f>
        <v>415000000</v>
      </c>
      <c r="N21" s="7">
        <f>'Q.2.Input'!$C$9*I21</f>
        <v>55500</v>
      </c>
      <c r="O21" s="7">
        <f>'Q.2.Input'!$C$3*'Q.2.Input'!$C$7</f>
        <v>30000000</v>
      </c>
      <c r="P21" s="61">
        <v>0</v>
      </c>
      <c r="Q21" s="41">
        <f t="shared" si="1"/>
        <v>421732847.98667258</v>
      </c>
      <c r="R21" s="37">
        <f t="shared" si="2"/>
        <v>-30465694.009569451</v>
      </c>
      <c r="S21" s="37">
        <f t="shared" si="3"/>
        <v>452198541.99624205</v>
      </c>
      <c r="T21" s="5">
        <f t="shared" si="0"/>
        <v>0.18269626126419927</v>
      </c>
      <c r="U21" s="14">
        <f t="shared" si="4"/>
        <v>68197409.261057019</v>
      </c>
    </row>
    <row r="22" spans="2:21" x14ac:dyDescent="0.35">
      <c r="B22" s="45">
        <f t="shared" si="5"/>
        <v>17</v>
      </c>
      <c r="C22" s="29">
        <v>0</v>
      </c>
      <c r="D22" s="7">
        <v>0</v>
      </c>
      <c r="E22" s="7">
        <f>-'Q.2.Input'!G20</f>
        <v>-21828745.883819364</v>
      </c>
      <c r="F22" s="30">
        <f>-'Q.2.Input'!H20</f>
        <v>-10111850.765151277</v>
      </c>
      <c r="G22" s="29">
        <f t="shared" si="6"/>
        <v>2369913998.7473416</v>
      </c>
      <c r="H22" s="7">
        <f>'Q.2.Input'!I20</f>
        <v>235526269.93110365</v>
      </c>
      <c r="I22" s="7">
        <f>'Q.2.Input'!J20</f>
        <v>11000000</v>
      </c>
      <c r="J22" s="30">
        <f t="shared" si="7"/>
        <v>2594440268.6784453</v>
      </c>
      <c r="K22" s="29">
        <f>-SUM(G22:H22)*'Q.2.Input'!L20</f>
        <v>-164403280.95360991</v>
      </c>
      <c r="L22" s="7">
        <f>SUM(G22:H22)*80%*('Q.2.Input'!L20+2%)</f>
        <v>173209669.06174308</v>
      </c>
      <c r="M22" s="7">
        <f>'Q.2.Input'!$C$8*'Q.2.Input'!K20</f>
        <v>441000000</v>
      </c>
      <c r="N22" s="7">
        <f>'Q.2.Input'!$C$9*I22</f>
        <v>55000</v>
      </c>
      <c r="O22" s="7">
        <f>'Q.2.Input'!$C$3*'Q.2.Input'!$C$7</f>
        <v>30000000</v>
      </c>
      <c r="P22" s="61">
        <v>0</v>
      </c>
      <c r="Q22" s="41">
        <f t="shared" si="1"/>
        <v>447920791.45916253</v>
      </c>
      <c r="R22" s="37">
        <f t="shared" si="2"/>
        <v>-31940596.648970641</v>
      </c>
      <c r="S22" s="37">
        <f t="shared" si="3"/>
        <v>479861388.1081332</v>
      </c>
      <c r="T22" s="5">
        <f t="shared" si="0"/>
        <v>0.16312166184303503</v>
      </c>
      <c r="U22" s="14">
        <f t="shared" si="4"/>
        <v>64678892.403740674</v>
      </c>
    </row>
    <row r="23" spans="2:21" x14ac:dyDescent="0.35">
      <c r="B23" s="45">
        <f t="shared" si="5"/>
        <v>18</v>
      </c>
      <c r="C23" s="29">
        <v>0</v>
      </c>
      <c r="D23" s="7">
        <v>0</v>
      </c>
      <c r="E23" s="7">
        <f>-'Q.2.Input'!G21</f>
        <v>-22920183.178010333</v>
      </c>
      <c r="F23" s="30">
        <f>-'Q.2.Input'!H21</f>
        <v>-10566884.049583083</v>
      </c>
      <c r="G23" s="29">
        <f t="shared" si="6"/>
        <v>2594440268.6784453</v>
      </c>
      <c r="H23" s="7">
        <f>'Q.2.Input'!I21</f>
        <v>248480214.77731434</v>
      </c>
      <c r="I23" s="7">
        <f>'Q.2.Input'!J21</f>
        <v>5600000</v>
      </c>
      <c r="J23" s="30">
        <f t="shared" si="7"/>
        <v>2837320483.4557595</v>
      </c>
      <c r="K23" s="29">
        <f>-SUM(G23:H23)*'Q.2.Input'!L21</f>
        <v>-183652663.23124209</v>
      </c>
      <c r="L23" s="7">
        <f>SUM(G23:H23)*80%*('Q.2.Input'!L21+2%)</f>
        <v>192408858.32028586</v>
      </c>
      <c r="M23" s="7">
        <f>'Q.2.Input'!$C$8*'Q.2.Input'!K21</f>
        <v>467000000</v>
      </c>
      <c r="N23" s="7">
        <f>'Q.2.Input'!$C$9*I23</f>
        <v>28000</v>
      </c>
      <c r="O23" s="7">
        <f>'Q.2.Input'!$C$3*'Q.2.Input'!$C$7</f>
        <v>30000000</v>
      </c>
      <c r="P23" s="61">
        <v>0</v>
      </c>
      <c r="Q23" s="41">
        <f t="shared" si="1"/>
        <v>472297127.86145031</v>
      </c>
      <c r="R23" s="37">
        <f t="shared" si="2"/>
        <v>-33487067.227593414</v>
      </c>
      <c r="S23" s="37">
        <f t="shared" si="3"/>
        <v>505784195.08904374</v>
      </c>
      <c r="T23" s="5">
        <f t="shared" si="0"/>
        <v>0.14564434093128129</v>
      </c>
      <c r="U23" s="14">
        <f t="shared" si="4"/>
        <v>60894767.581060611</v>
      </c>
    </row>
    <row r="24" spans="2:21" x14ac:dyDescent="0.35">
      <c r="B24" s="45">
        <f t="shared" si="5"/>
        <v>19</v>
      </c>
      <c r="C24" s="29">
        <v>0</v>
      </c>
      <c r="D24" s="7">
        <v>0</v>
      </c>
      <c r="E24" s="7">
        <f>-'Q.2.Input'!G22</f>
        <v>-24066192.336910851</v>
      </c>
      <c r="F24" s="30">
        <f>-'Q.2.Input'!H22</f>
        <v>-11042393.831814321</v>
      </c>
      <c r="G24" s="29">
        <f t="shared" si="6"/>
        <v>2837320483.4557595</v>
      </c>
      <c r="H24" s="7">
        <f>'Q.2.Input'!I22</f>
        <v>262146626.59006661</v>
      </c>
      <c r="I24" s="7">
        <f>'Q.2.Input'!J22</f>
        <v>12600000</v>
      </c>
      <c r="J24" s="30">
        <f t="shared" si="7"/>
        <v>3086867110.045826</v>
      </c>
      <c r="K24" s="29">
        <f>-SUM(G24:H24)*'Q.2.Input'!L22</f>
        <v>-226880992.45535445</v>
      </c>
      <c r="L24" s="7">
        <f>SUM(G24:H24)*80%*('Q.2.Input'!L22+2%)</f>
        <v>231096267.72501677</v>
      </c>
      <c r="M24" s="7">
        <f>'Q.2.Input'!$C$8*'Q.2.Input'!K22</f>
        <v>493000000</v>
      </c>
      <c r="N24" s="7">
        <f>'Q.2.Input'!$C$9*I24</f>
        <v>63000</v>
      </c>
      <c r="O24" s="7">
        <f>'Q.2.Input'!$C$3*'Q.2.Input'!$C$7</f>
        <v>30000000</v>
      </c>
      <c r="P24" s="61">
        <v>0</v>
      </c>
      <c r="Q24" s="41">
        <f t="shared" si="1"/>
        <v>492169689.10093713</v>
      </c>
      <c r="R24" s="37">
        <f t="shared" si="2"/>
        <v>-35108586.16872517</v>
      </c>
      <c r="S24" s="37">
        <f t="shared" si="3"/>
        <v>527278275.26966232</v>
      </c>
      <c r="T24" s="5">
        <f t="shared" si="0"/>
        <v>0.13003959011721541</v>
      </c>
      <c r="U24" s="14">
        <f t="shared" si="4"/>
        <v>56655074.910898298</v>
      </c>
    </row>
    <row r="25" spans="2:21" x14ac:dyDescent="0.35">
      <c r="B25" s="45">
        <f t="shared" si="5"/>
        <v>20</v>
      </c>
      <c r="C25" s="29">
        <v>0</v>
      </c>
      <c r="D25" s="7">
        <v>0</v>
      </c>
      <c r="E25" s="7">
        <f>-'Q.2.Input'!G23</f>
        <v>-25269501.953756396</v>
      </c>
      <c r="F25" s="30">
        <f>-'Q.2.Input'!H23</f>
        <v>-11539301.554245964</v>
      </c>
      <c r="G25" s="29">
        <f t="shared" ref="G25:G35" si="8">J24</f>
        <v>3086867110.045826</v>
      </c>
      <c r="H25" s="7">
        <f>'Q.2.Input'!I23</f>
        <v>276564691.05252028</v>
      </c>
      <c r="I25" s="7">
        <f>'Q.2.Input'!J23</f>
        <v>11400000</v>
      </c>
      <c r="J25" s="30">
        <f t="shared" ref="J25:J35" si="9">G25+H25-I25</f>
        <v>3352031801.0983462</v>
      </c>
      <c r="K25" s="29">
        <f>-SUM(G25:H25)*'Q.2.Input'!L23</f>
        <v>-214250605.72996467</v>
      </c>
      <c r="L25" s="7">
        <f>SUM(G25:H25)*80%*('Q.2.Input'!L23+2%)</f>
        <v>225215393.40154532</v>
      </c>
      <c r="M25" s="7">
        <f>'Q.2.Input'!$C$8*'Q.2.Input'!K23</f>
        <v>519000000</v>
      </c>
      <c r="N25" s="7">
        <f>'Q.2.Input'!$C$9*I25</f>
        <v>57000</v>
      </c>
      <c r="O25" s="7">
        <f>'Q.2.Input'!$C$3*'Q.2.Input'!$C$7</f>
        <v>30000000</v>
      </c>
      <c r="P25" s="61">
        <v>0</v>
      </c>
      <c r="Q25" s="41">
        <f t="shared" ref="Q25:Q35" si="10">SUM(C25:F25,K25:P25)</f>
        <v>523212984.16357827</v>
      </c>
      <c r="R25" s="37">
        <f t="shared" ref="R25:R35" si="11">SUM(C25:F25)</f>
        <v>-36808803.508002356</v>
      </c>
      <c r="S25" s="37">
        <f t="shared" ref="S25:S35" si="12">SUM(K25:P25)</f>
        <v>560021787.67158067</v>
      </c>
      <c r="T25" s="5">
        <f t="shared" ref="T25:T36" si="13">(1+$B$1)^-(B25-1)</f>
        <v>0.1161067768903709</v>
      </c>
      <c r="U25" s="14">
        <f t="shared" ref="U25:U36" si="14">R25*T25+S25*T26</f>
        <v>53781895.566111721</v>
      </c>
    </row>
    <row r="26" spans="2:21" x14ac:dyDescent="0.35">
      <c r="B26" s="45">
        <f t="shared" si="5"/>
        <v>21</v>
      </c>
      <c r="C26" s="29">
        <v>0</v>
      </c>
      <c r="D26" s="7">
        <v>0</v>
      </c>
      <c r="E26" s="7">
        <f>-'Q.2.Input'!G24</f>
        <v>-26532977.051444218</v>
      </c>
      <c r="F26" s="30">
        <f>-'Q.2.Input'!H24</f>
        <v>-12058570.124187032</v>
      </c>
      <c r="G26" s="29">
        <f t="shared" si="8"/>
        <v>3352031801.0983462</v>
      </c>
      <c r="H26" s="7">
        <f>'Q.2.Input'!I24</f>
        <v>291775749.06040889</v>
      </c>
      <c r="I26" s="7">
        <f>'Q.2.Input'!J24</f>
        <v>12600000</v>
      </c>
      <c r="J26" s="30">
        <f t="shared" si="9"/>
        <v>3631207550.1587553</v>
      </c>
      <c r="K26" s="29">
        <f>-SUM(G26:H26)*'Q.2.Input'!L24</f>
        <v>-276929373.81206542</v>
      </c>
      <c r="L26" s="7">
        <f>SUM(G26:H26)*80%*('Q.2.Input'!L24+2%)</f>
        <v>279844419.85219246</v>
      </c>
      <c r="M26" s="7">
        <f>'Q.2.Input'!$C$8*'Q.2.Input'!K24</f>
        <v>545000000</v>
      </c>
      <c r="N26" s="7">
        <f>'Q.2.Input'!$C$9*I26</f>
        <v>63000</v>
      </c>
      <c r="O26" s="7">
        <f>'Q.2.Input'!$C$3*'Q.2.Input'!$C$7</f>
        <v>30000000</v>
      </c>
      <c r="P26" s="61">
        <v>0</v>
      </c>
      <c r="Q26" s="41">
        <f t="shared" si="10"/>
        <v>539386498.86449575</v>
      </c>
      <c r="R26" s="37">
        <f t="shared" si="11"/>
        <v>-38591547.175631247</v>
      </c>
      <c r="S26" s="37">
        <f t="shared" si="12"/>
        <v>577978046.04012704</v>
      </c>
      <c r="T26" s="5">
        <f t="shared" si="13"/>
        <v>0.1036667650806883</v>
      </c>
      <c r="U26" s="14">
        <f t="shared" si="14"/>
        <v>49496762.645412363</v>
      </c>
    </row>
    <row r="27" spans="2:21" x14ac:dyDescent="0.35">
      <c r="B27" s="45">
        <f t="shared" si="5"/>
        <v>22</v>
      </c>
      <c r="C27" s="29">
        <v>0</v>
      </c>
      <c r="D27" s="7">
        <v>0</v>
      </c>
      <c r="E27" s="7">
        <f>-'Q.2.Input'!G25</f>
        <v>-27859625.904016431</v>
      </c>
      <c r="F27" s="30">
        <f>-'Q.2.Input'!H25</f>
        <v>-12601205.779775448</v>
      </c>
      <c r="G27" s="29">
        <f t="shared" si="8"/>
        <v>3631207550.1587553</v>
      </c>
      <c r="H27" s="7">
        <f>'Q.2.Input'!I25</f>
        <v>307823415.25873137</v>
      </c>
      <c r="I27" s="7">
        <f>'Q.2.Input'!J25</f>
        <v>9900000</v>
      </c>
      <c r="J27" s="30">
        <f t="shared" si="9"/>
        <v>3929130965.4174867</v>
      </c>
      <c r="K27" s="29">
        <f>-SUM(G27:H27)*'Q.2.Input'!L25</f>
        <v>-297790740.98556197</v>
      </c>
      <c r="L27" s="7">
        <f>SUM(G27:H27)*80%*('Q.2.Input'!L25+2%)</f>
        <v>301257088.23512942</v>
      </c>
      <c r="M27" s="7">
        <f>'Q.2.Input'!$C$8*'Q.2.Input'!K25</f>
        <v>571000000</v>
      </c>
      <c r="N27" s="7">
        <f>'Q.2.Input'!$C$9*I27</f>
        <v>49500</v>
      </c>
      <c r="O27" s="7">
        <f>'Q.2.Input'!$C$3*'Q.2.Input'!$C$7</f>
        <v>30000000</v>
      </c>
      <c r="P27" s="61">
        <v>0</v>
      </c>
      <c r="Q27" s="41">
        <f t="shared" si="10"/>
        <v>564055015.56577563</v>
      </c>
      <c r="R27" s="37">
        <f t="shared" si="11"/>
        <v>-40460831.683791876</v>
      </c>
      <c r="S27" s="37">
        <f t="shared" si="12"/>
        <v>604515847.24956751</v>
      </c>
      <c r="T27" s="5">
        <f t="shared" si="13"/>
        <v>9.2559611679185971E-2</v>
      </c>
      <c r="U27" s="14">
        <f t="shared" si="14"/>
        <v>46213668.341251023</v>
      </c>
    </row>
    <row r="28" spans="2:21" x14ac:dyDescent="0.35">
      <c r="B28" s="45">
        <f t="shared" si="5"/>
        <v>23</v>
      </c>
      <c r="C28" s="29">
        <v>0</v>
      </c>
      <c r="D28" s="7">
        <v>0</v>
      </c>
      <c r="E28" s="7">
        <f>-'Q.2.Input'!G26</f>
        <v>-29252607.199217252</v>
      </c>
      <c r="F28" s="30">
        <f>-'Q.2.Input'!H26</f>
        <v>-13168260.039865343</v>
      </c>
      <c r="G28" s="29">
        <f t="shared" si="8"/>
        <v>3929130965.4174867</v>
      </c>
      <c r="H28" s="7">
        <f>'Q.2.Input'!I26</f>
        <v>324753703.09796154</v>
      </c>
      <c r="I28" s="7">
        <f>'Q.2.Input'!J26</f>
        <v>10300000</v>
      </c>
      <c r="J28" s="30">
        <f t="shared" si="9"/>
        <v>4243584668.5154481</v>
      </c>
      <c r="K28" s="29">
        <f>-SUM(G28:H28)*'Q.2.Input'!L26</f>
        <v>-285010272.79053503</v>
      </c>
      <c r="L28" s="7">
        <f>SUM(G28:H28)*80%*('Q.2.Input'!L26+2%)</f>
        <v>296070372.92867523</v>
      </c>
      <c r="M28" s="7">
        <f>'Q.2.Input'!$C$8*'Q.2.Input'!K26</f>
        <v>597000000</v>
      </c>
      <c r="N28" s="7">
        <f>'Q.2.Input'!$C$9*I28</f>
        <v>51500</v>
      </c>
      <c r="O28" s="7">
        <f>'Q.2.Input'!$C$3*'Q.2.Input'!$C$7</f>
        <v>30000000</v>
      </c>
      <c r="P28" s="61">
        <v>0</v>
      </c>
      <c r="Q28" s="41">
        <f t="shared" si="10"/>
        <v>595690732.89905763</v>
      </c>
      <c r="R28" s="37">
        <f t="shared" si="11"/>
        <v>-42420867.239082597</v>
      </c>
      <c r="S28" s="37">
        <f t="shared" si="12"/>
        <v>638111600.1381402</v>
      </c>
      <c r="T28" s="5">
        <f t="shared" si="13"/>
        <v>8.2642510427844609E-2</v>
      </c>
      <c r="U28" s="14">
        <f t="shared" si="14"/>
        <v>43579183.544465251</v>
      </c>
    </row>
    <row r="29" spans="2:21" x14ac:dyDescent="0.35">
      <c r="B29" s="45">
        <f t="shared" si="5"/>
        <v>24</v>
      </c>
      <c r="C29" s="29">
        <v>0</v>
      </c>
      <c r="D29" s="7">
        <v>0</v>
      </c>
      <c r="E29" s="7">
        <f>-'Q.2.Input'!G27</f>
        <v>-30715237.559178118</v>
      </c>
      <c r="F29" s="30">
        <f>-'Q.2.Input'!H27</f>
        <v>-13760831.741659282</v>
      </c>
      <c r="G29" s="29">
        <f t="shared" si="8"/>
        <v>4243584668.5154481</v>
      </c>
      <c r="H29" s="7">
        <f>'Q.2.Input'!I27</f>
        <v>342615156.76834941</v>
      </c>
      <c r="I29" s="7">
        <f>'Q.2.Input'!J27</f>
        <v>8300000</v>
      </c>
      <c r="J29" s="30">
        <f t="shared" si="9"/>
        <v>4577899825.2837973</v>
      </c>
      <c r="K29" s="29">
        <f>-SUM(G29:H29)*'Q.2.Input'!L27</f>
        <v>-312778828.08435494</v>
      </c>
      <c r="L29" s="7">
        <f>SUM(G29:H29)*80%*('Q.2.Input'!L27+2%)</f>
        <v>323602259.67202473</v>
      </c>
      <c r="M29" s="7">
        <f>'Q.2.Input'!$C$8*'Q.2.Input'!K27</f>
        <v>623000000</v>
      </c>
      <c r="N29" s="7">
        <f>'Q.2.Input'!$C$9*I29</f>
        <v>41500</v>
      </c>
      <c r="O29" s="7">
        <f>'Q.2.Input'!$C$3*'Q.2.Input'!$C$7</f>
        <v>30000000</v>
      </c>
      <c r="P29" s="61">
        <v>0</v>
      </c>
      <c r="Q29" s="41">
        <f t="shared" si="10"/>
        <v>619388862.28683233</v>
      </c>
      <c r="R29" s="37">
        <f t="shared" si="11"/>
        <v>-44476069.300837398</v>
      </c>
      <c r="S29" s="37">
        <f t="shared" si="12"/>
        <v>663864931.58766985</v>
      </c>
      <c r="T29" s="5">
        <f t="shared" si="13"/>
        <v>7.3787955739146982E-2</v>
      </c>
      <c r="U29" s="14">
        <f t="shared" si="14"/>
        <v>40455019.792659663</v>
      </c>
    </row>
    <row r="30" spans="2:21" x14ac:dyDescent="0.35">
      <c r="B30" s="45">
        <f t="shared" si="5"/>
        <v>25</v>
      </c>
      <c r="C30" s="29">
        <v>0</v>
      </c>
      <c r="D30" s="7">
        <v>0</v>
      </c>
      <c r="E30" s="7">
        <f>-'Q.2.Input'!G28</f>
        <v>-32250999.437137026</v>
      </c>
      <c r="F30" s="30">
        <f>-'Q.2.Input'!H28</f>
        <v>-14380069.170033948</v>
      </c>
      <c r="G30" s="29">
        <f t="shared" si="8"/>
        <v>4577899825.2837973</v>
      </c>
      <c r="H30" s="7">
        <f>'Q.2.Input'!I28</f>
        <v>361458990.39060861</v>
      </c>
      <c r="I30" s="7">
        <f>'Q.2.Input'!J28</f>
        <v>16100000</v>
      </c>
      <c r="J30" s="30">
        <f t="shared" si="9"/>
        <v>4923258815.6744061</v>
      </c>
      <c r="K30" s="29">
        <f>-SUM(G30:H30)*'Q.2.Input'!L28</f>
        <v>-325503745.95294338</v>
      </c>
      <c r="L30" s="7">
        <f>SUM(G30:H30)*80%*('Q.2.Input'!L28+2%)</f>
        <v>339432737.81314522</v>
      </c>
      <c r="M30" s="7">
        <f>'Q.2.Input'!$C$8*'Q.2.Input'!K28</f>
        <v>649000000</v>
      </c>
      <c r="N30" s="7">
        <f>'Q.2.Input'!$C$9*I30</f>
        <v>80500</v>
      </c>
      <c r="O30" s="7">
        <f>'Q.2.Input'!$C$3*'Q.2.Input'!$C$7</f>
        <v>30000000</v>
      </c>
      <c r="P30" s="61">
        <v>0</v>
      </c>
      <c r="Q30" s="41">
        <f t="shared" si="10"/>
        <v>646378423.25303078</v>
      </c>
      <c r="R30" s="37">
        <f t="shared" si="11"/>
        <v>-46631068.607170977</v>
      </c>
      <c r="S30" s="37">
        <f t="shared" si="12"/>
        <v>693009491.86020184</v>
      </c>
      <c r="T30" s="5">
        <f t="shared" si="13"/>
        <v>6.5882103338524081E-2</v>
      </c>
      <c r="U30" s="14">
        <f t="shared" si="14"/>
        <v>37692956.902550735</v>
      </c>
    </row>
    <row r="31" spans="2:21" x14ac:dyDescent="0.35">
      <c r="B31" s="45">
        <f t="shared" si="5"/>
        <v>26</v>
      </c>
      <c r="C31" s="29">
        <v>0</v>
      </c>
      <c r="D31" s="7">
        <v>0</v>
      </c>
      <c r="E31" s="7">
        <f>-'Q.2.Input'!G29</f>
        <v>-33863549.408993877</v>
      </c>
      <c r="F31" s="30">
        <f>-'Q.2.Input'!H29</f>
        <v>-15027172.282685475</v>
      </c>
      <c r="G31" s="29">
        <f t="shared" si="8"/>
        <v>4923258815.6744061</v>
      </c>
      <c r="H31" s="7">
        <f>'Q.2.Input'!I29</f>
        <v>381339234.86209208</v>
      </c>
      <c r="I31" s="7">
        <f>'Q.2.Input'!J29</f>
        <v>16900000</v>
      </c>
      <c r="J31" s="30">
        <f t="shared" si="9"/>
        <v>5287698050.5364981</v>
      </c>
      <c r="K31" s="29">
        <f>-SUM(G31:H31)*'Q.2.Input'!L29</f>
        <v>-318806342.83724356</v>
      </c>
      <c r="L31" s="7">
        <f>SUM(G31:H31)*80%*('Q.2.Input'!L29+2%)</f>
        <v>339918643.07837886</v>
      </c>
      <c r="M31" s="7">
        <f>'Q.2.Input'!$C$8*'Q.2.Input'!K29</f>
        <v>675000000</v>
      </c>
      <c r="N31" s="7">
        <f>'Q.2.Input'!$C$9*I31</f>
        <v>84500</v>
      </c>
      <c r="O31" s="7">
        <f>'Q.2.Input'!$C$3*'Q.2.Input'!$C$7</f>
        <v>30000000</v>
      </c>
      <c r="P31" s="61">
        <v>0</v>
      </c>
      <c r="Q31" s="41">
        <f t="shared" si="10"/>
        <v>677306078.54945588</v>
      </c>
      <c r="R31" s="37">
        <f t="shared" si="11"/>
        <v>-48890721.691679351</v>
      </c>
      <c r="S31" s="37">
        <f t="shared" si="12"/>
        <v>726196800.24113536</v>
      </c>
      <c r="T31" s="5">
        <f t="shared" si="13"/>
        <v>5.8823306552253637E-2</v>
      </c>
      <c r="U31" s="14">
        <f t="shared" si="14"/>
        <v>35264529.838449784</v>
      </c>
    </row>
    <row r="32" spans="2:21" x14ac:dyDescent="0.35">
      <c r="B32" s="45">
        <f t="shared" si="5"/>
        <v>27</v>
      </c>
      <c r="C32" s="29">
        <v>0</v>
      </c>
      <c r="D32" s="7">
        <v>0</v>
      </c>
      <c r="E32" s="7">
        <f>-'Q.2.Input'!G30</f>
        <v>-35556726.879443571</v>
      </c>
      <c r="F32" s="30">
        <f>-'Q.2.Input'!H30</f>
        <v>-15703395.035406321</v>
      </c>
      <c r="G32" s="29">
        <f t="shared" si="8"/>
        <v>5287698050.5364981</v>
      </c>
      <c r="H32" s="7">
        <f>'Q.2.Input'!I30</f>
        <v>402312892.7795071</v>
      </c>
      <c r="I32" s="7">
        <f>'Q.2.Input'!J30</f>
        <v>19400000</v>
      </c>
      <c r="J32" s="30">
        <f t="shared" si="9"/>
        <v>5670610943.3160048</v>
      </c>
      <c r="K32" s="29">
        <f>-SUM(G32:H32)*'Q.2.Input'!L30</f>
        <v>-440406847.01265877</v>
      </c>
      <c r="L32" s="7">
        <f>SUM(G32:H32)*80%*('Q.2.Input'!L30+2%)</f>
        <v>443365652.70318317</v>
      </c>
      <c r="M32" s="7">
        <f>'Q.2.Input'!$C$8*'Q.2.Input'!K30</f>
        <v>701000000</v>
      </c>
      <c r="N32" s="7">
        <f>'Q.2.Input'!$C$9*I32</f>
        <v>97000</v>
      </c>
      <c r="O32" s="7">
        <f>'Q.2.Input'!$C$3*'Q.2.Input'!$C$7</f>
        <v>30000000</v>
      </c>
      <c r="P32" s="61">
        <v>0</v>
      </c>
      <c r="Q32" s="41">
        <f t="shared" si="10"/>
        <v>682795683.77567458</v>
      </c>
      <c r="R32" s="37">
        <f t="shared" si="11"/>
        <v>-51260121.914849892</v>
      </c>
      <c r="S32" s="37">
        <f t="shared" si="12"/>
        <v>734055805.69052434</v>
      </c>
      <c r="T32" s="5">
        <f t="shared" si="13"/>
        <v>5.2520809421655032E-2</v>
      </c>
      <c r="U32" s="14">
        <f t="shared" si="14"/>
        <v>31730281.437703885</v>
      </c>
    </row>
    <row r="33" spans="2:21" x14ac:dyDescent="0.35">
      <c r="B33" s="45">
        <f t="shared" si="5"/>
        <v>28</v>
      </c>
      <c r="C33" s="29">
        <v>0</v>
      </c>
      <c r="D33" s="7">
        <v>0</v>
      </c>
      <c r="E33" s="7">
        <f>-'Q.2.Input'!G31</f>
        <v>-37334563.223415755</v>
      </c>
      <c r="F33" s="30">
        <f>-'Q.2.Input'!H31</f>
        <v>-16410047.811999604</v>
      </c>
      <c r="G33" s="29">
        <f t="shared" si="8"/>
        <v>5670610943.3160048</v>
      </c>
      <c r="H33" s="7">
        <f>'Q.2.Input'!I31</f>
        <v>424440101.88237995</v>
      </c>
      <c r="I33" s="7">
        <f>'Q.2.Input'!J31</f>
        <v>12500000</v>
      </c>
      <c r="J33" s="30">
        <f t="shared" si="9"/>
        <v>6082551045.1983843</v>
      </c>
      <c r="K33" s="29">
        <f>-SUM(G33:H33)*'Q.2.Input'!L31</f>
        <v>-402273368.98309338</v>
      </c>
      <c r="L33" s="7">
        <f>SUM(G33:H33)*80%*('Q.2.Input'!L31+2%)</f>
        <v>419339511.9096489</v>
      </c>
      <c r="M33" s="7">
        <f>'Q.2.Input'!$C$8*'Q.2.Input'!K31</f>
        <v>727000000</v>
      </c>
      <c r="N33" s="7">
        <f>'Q.2.Input'!$C$9*I33</f>
        <v>62500</v>
      </c>
      <c r="O33" s="7">
        <f>'Q.2.Input'!$C$3*'Q.2.Input'!$C$7</f>
        <v>30000000</v>
      </c>
      <c r="P33" s="61">
        <v>0</v>
      </c>
      <c r="Q33" s="41">
        <f t="shared" si="10"/>
        <v>720384031.89114022</v>
      </c>
      <c r="R33" s="37">
        <f t="shared" si="11"/>
        <v>-53744611.035415359</v>
      </c>
      <c r="S33" s="37">
        <f t="shared" si="12"/>
        <v>774128642.92655551</v>
      </c>
      <c r="T33" s="5">
        <f t="shared" si="13"/>
        <v>4.6893579840763415E-2</v>
      </c>
      <c r="U33" s="14">
        <f t="shared" si="14"/>
        <v>29891922.187916283</v>
      </c>
    </row>
    <row r="34" spans="2:21" x14ac:dyDescent="0.35">
      <c r="B34" s="45">
        <f t="shared" si="5"/>
        <v>29</v>
      </c>
      <c r="C34" s="29">
        <v>0</v>
      </c>
      <c r="D34" s="7">
        <v>0</v>
      </c>
      <c r="E34" s="7">
        <f>-'Q.2.Input'!G32</f>
        <v>-39201291.384586543</v>
      </c>
      <c r="F34" s="30">
        <f>-'Q.2.Input'!H32</f>
        <v>-17148499.963539585</v>
      </c>
      <c r="G34" s="29">
        <f t="shared" si="8"/>
        <v>6082551045.1983843</v>
      </c>
      <c r="H34" s="7">
        <f>'Q.2.Input'!I32</f>
        <v>447784307.48591083</v>
      </c>
      <c r="I34" s="7">
        <f>'Q.2.Input'!J32</f>
        <v>11200000</v>
      </c>
      <c r="J34" s="30">
        <f t="shared" si="9"/>
        <v>6519135352.6842947</v>
      </c>
      <c r="K34" s="29">
        <f>-SUM(G34:H34)*'Q.2.Input'!L32</f>
        <v>-469531111.85800081</v>
      </c>
      <c r="L34" s="7">
        <f>SUM(G34:H34)*80%*('Q.2.Input'!L32+2%)</f>
        <v>480110255.12934941</v>
      </c>
      <c r="M34" s="7">
        <f>'Q.2.Input'!$C$8*'Q.2.Input'!K32</f>
        <v>753000000</v>
      </c>
      <c r="N34" s="7">
        <f>'Q.2.Input'!$C$9*I34</f>
        <v>56000</v>
      </c>
      <c r="O34" s="7">
        <f>'Q.2.Input'!$C$3*'Q.2.Input'!$C$7</f>
        <v>30000000</v>
      </c>
      <c r="P34" s="61">
        <v>0</v>
      </c>
      <c r="Q34" s="41">
        <f t="shared" si="10"/>
        <v>737285351.92322254</v>
      </c>
      <c r="R34" s="37">
        <f t="shared" si="11"/>
        <v>-56349791.348126128</v>
      </c>
      <c r="S34" s="37">
        <f t="shared" si="12"/>
        <v>793635143.2713486</v>
      </c>
      <c r="T34" s="5">
        <f t="shared" si="13"/>
        <v>4.1869267714967337E-2</v>
      </c>
      <c r="U34" s="14">
        <f t="shared" si="14"/>
        <v>27309356.108965032</v>
      </c>
    </row>
    <row r="35" spans="2:21" x14ac:dyDescent="0.35">
      <c r="B35" s="45">
        <f t="shared" si="5"/>
        <v>30</v>
      </c>
      <c r="C35" s="29">
        <v>0</v>
      </c>
      <c r="D35" s="7">
        <v>0</v>
      </c>
      <c r="E35" s="7">
        <f>-'Q.2.Input'!G33</f>
        <v>-41161355.95381587</v>
      </c>
      <c r="F35" s="30">
        <f>-'Q.2.Input'!H33</f>
        <v>-17920182.461898867</v>
      </c>
      <c r="G35" s="29">
        <f t="shared" si="8"/>
        <v>6519135352.6842947</v>
      </c>
      <c r="H35" s="7">
        <f>'Q.2.Input'!I33</f>
        <v>472412444.39763588</v>
      </c>
      <c r="I35" s="7">
        <f>'Q.2.Input'!J33</f>
        <v>20300000</v>
      </c>
      <c r="J35" s="30">
        <f t="shared" si="9"/>
        <v>6971247797.0819302</v>
      </c>
      <c r="K35" s="29">
        <f>-SUM(G35:H35)*'Q.2.Input'!L33</f>
        <v>-446759904.23353535</v>
      </c>
      <c r="L35" s="7">
        <f>SUM(G35:H35)*80%*('Q.2.Input'!L33+2%)</f>
        <v>469272688.14013922</v>
      </c>
      <c r="M35" s="7">
        <f>'Q.2.Input'!$C$8*'Q.2.Input'!K33</f>
        <v>779000000</v>
      </c>
      <c r="N35" s="7">
        <f>'Q.2.Input'!$C$9*I35</f>
        <v>101500</v>
      </c>
      <c r="O35" s="7">
        <f>'Q.2.Input'!$C$3*'Q.2.Input'!$C$7</f>
        <v>30000000</v>
      </c>
      <c r="P35" s="61">
        <f>L35*5</f>
        <v>2346363440.700696</v>
      </c>
      <c r="Q35" s="41">
        <f t="shared" si="10"/>
        <v>3118896186.1915851</v>
      </c>
      <c r="R35" s="37">
        <f t="shared" si="11"/>
        <v>-59081538.415714741</v>
      </c>
      <c r="S35" s="37">
        <f t="shared" si="12"/>
        <v>3177977724.6072998</v>
      </c>
      <c r="T35" s="5">
        <f t="shared" si="13"/>
        <v>3.7383274745506546E-2</v>
      </c>
      <c r="U35" s="14">
        <f t="shared" si="14"/>
        <v>103865637.201031</v>
      </c>
    </row>
    <row r="36" spans="2:21" x14ac:dyDescent="0.35">
      <c r="B36" s="45">
        <f t="shared" si="5"/>
        <v>31</v>
      </c>
      <c r="C36" s="29"/>
      <c r="D36" s="7"/>
      <c r="E36" s="7"/>
      <c r="F36" s="30"/>
      <c r="G36" s="29"/>
      <c r="H36" s="7"/>
      <c r="I36" s="7"/>
      <c r="J36" s="30"/>
      <c r="K36" s="29"/>
      <c r="L36" s="7"/>
      <c r="M36" s="7"/>
      <c r="N36" s="7"/>
      <c r="O36" s="7"/>
      <c r="P36" s="61"/>
      <c r="Q36" s="41"/>
      <c r="R36" s="37"/>
      <c r="S36" s="37"/>
      <c r="T36" s="5">
        <f t="shared" si="13"/>
        <v>3.3377923879916553E-2</v>
      </c>
      <c r="U36" s="14">
        <f t="shared" si="14"/>
        <v>0</v>
      </c>
    </row>
  </sheetData>
  <pageMargins left="0.7" right="0.7" top="0.75" bottom="0.75" header="0.3" footer="0.3"/>
  <headerFooter>
    <oddFooter>&amp;L_x000D_&amp;1#&amp;"Aptos"&amp;10&amp;K000000 Internal</oddFooter>
  </headerFooter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BB82-1391-417F-8CE0-2C93736D2950}">
  <dimension ref="B2:C14"/>
  <sheetViews>
    <sheetView showGridLines="0" zoomScaleNormal="100" workbookViewId="0"/>
  </sheetViews>
  <sheetFormatPr defaultRowHeight="14.5" x14ac:dyDescent="0.35"/>
  <cols>
    <col min="2" max="2" width="23.08984375" bestFit="1" customWidth="1"/>
    <col min="3" max="3" width="11.1796875" bestFit="1" customWidth="1"/>
  </cols>
  <sheetData>
    <row r="2" spans="2:3" x14ac:dyDescent="0.35">
      <c r="B2" s="1" t="s">
        <v>92</v>
      </c>
    </row>
    <row r="3" spans="2:3" x14ac:dyDescent="0.35">
      <c r="B3" s="5" t="s">
        <v>93</v>
      </c>
      <c r="C3" s="5">
        <v>0.02</v>
      </c>
    </row>
    <row r="4" spans="2:3" x14ac:dyDescent="0.35">
      <c r="B4" s="5" t="s">
        <v>94</v>
      </c>
      <c r="C4" s="5">
        <v>1.5E-3</v>
      </c>
    </row>
    <row r="5" spans="2:3" x14ac:dyDescent="0.35">
      <c r="B5" s="5" t="s">
        <v>95</v>
      </c>
      <c r="C5" s="5">
        <v>3.0000000000000001E-3</v>
      </c>
    </row>
    <row r="6" spans="2:3" x14ac:dyDescent="0.35">
      <c r="B6" s="5" t="s">
        <v>96</v>
      </c>
      <c r="C6" s="5">
        <v>0.95</v>
      </c>
    </row>
    <row r="8" spans="2:3" x14ac:dyDescent="0.35">
      <c r="B8" s="5" t="s">
        <v>104</v>
      </c>
      <c r="C8" s="43">
        <v>100000</v>
      </c>
    </row>
    <row r="10" spans="2:3" x14ac:dyDescent="0.35">
      <c r="B10" s="5" t="s">
        <v>117</v>
      </c>
      <c r="C10" s="43">
        <v>10000</v>
      </c>
    </row>
    <row r="11" spans="2:3" x14ac:dyDescent="0.35">
      <c r="B11" s="5" t="s">
        <v>118</v>
      </c>
      <c r="C11" s="43">
        <v>100000</v>
      </c>
    </row>
    <row r="13" spans="2:3" x14ac:dyDescent="0.35">
      <c r="B13" t="s">
        <v>124</v>
      </c>
      <c r="C13" s="4">
        <v>0.06</v>
      </c>
    </row>
    <row r="14" spans="2:3" x14ac:dyDescent="0.35">
      <c r="B14" t="s">
        <v>38</v>
      </c>
      <c r="C14" s="4">
        <v>0.12</v>
      </c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5D41-3A0D-4958-846A-BE2E46E44529}">
  <dimension ref="B2:V14"/>
  <sheetViews>
    <sheetView showGridLines="0" zoomScaleNormal="100" workbookViewId="0"/>
  </sheetViews>
  <sheetFormatPr defaultRowHeight="14.5" x14ac:dyDescent="0.35"/>
  <cols>
    <col min="3" max="3" width="11.36328125" customWidth="1"/>
    <col min="4" max="4" width="9.36328125" customWidth="1"/>
    <col min="5" max="5" width="11.453125" customWidth="1"/>
    <col min="6" max="6" width="10.36328125" customWidth="1"/>
    <col min="7" max="7" width="11" customWidth="1"/>
    <col min="9" max="9" width="11.1796875" bestFit="1" customWidth="1"/>
    <col min="10" max="11" width="13.81640625" customWidth="1"/>
    <col min="12" max="12" width="12.453125" customWidth="1"/>
    <col min="13" max="13" width="9.6328125" bestFit="1" customWidth="1"/>
    <col min="17" max="17" width="22.08984375" customWidth="1"/>
  </cols>
  <sheetData>
    <row r="2" spans="2:22" ht="16.5" customHeight="1" thickBot="1" x14ac:dyDescent="0.4">
      <c r="C2" s="96"/>
      <c r="D2" s="96"/>
      <c r="E2" s="96"/>
      <c r="F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</row>
    <row r="3" spans="2:22" x14ac:dyDescent="0.35">
      <c r="C3" s="109" t="s">
        <v>92</v>
      </c>
      <c r="D3" s="110"/>
      <c r="E3" s="110"/>
      <c r="F3" s="110"/>
      <c r="G3" s="110"/>
      <c r="H3" s="111"/>
      <c r="I3" s="112" t="s">
        <v>99</v>
      </c>
      <c r="J3" s="113"/>
      <c r="K3" s="113"/>
      <c r="L3" s="113"/>
      <c r="M3" s="114"/>
      <c r="N3" s="112" t="s">
        <v>105</v>
      </c>
      <c r="O3" s="113"/>
      <c r="P3" s="113"/>
      <c r="Q3" s="113"/>
      <c r="R3" s="114"/>
      <c r="S3" s="115" t="s">
        <v>109</v>
      </c>
      <c r="T3" s="116"/>
      <c r="U3" s="116"/>
      <c r="V3" s="117"/>
    </row>
    <row r="4" spans="2:22" ht="87" x14ac:dyDescent="0.35">
      <c r="B4" s="85" t="s">
        <v>55</v>
      </c>
      <c r="C4" s="75" t="s">
        <v>97</v>
      </c>
      <c r="D4" s="10" t="s">
        <v>93</v>
      </c>
      <c r="E4" s="10" t="s">
        <v>94</v>
      </c>
      <c r="F4" s="10" t="s">
        <v>98</v>
      </c>
      <c r="G4" s="10" t="s">
        <v>96</v>
      </c>
      <c r="H4" s="76" t="s">
        <v>95</v>
      </c>
      <c r="I4" s="75" t="s">
        <v>100</v>
      </c>
      <c r="J4" s="10" t="s">
        <v>101</v>
      </c>
      <c r="K4" s="10" t="s">
        <v>106</v>
      </c>
      <c r="L4" s="10" t="s">
        <v>102</v>
      </c>
      <c r="M4" s="76" t="s">
        <v>103</v>
      </c>
      <c r="N4" s="82" t="s">
        <v>100</v>
      </c>
      <c r="O4" s="83" t="s">
        <v>107</v>
      </c>
      <c r="P4" s="83" t="s">
        <v>108</v>
      </c>
      <c r="Q4" s="83" t="s">
        <v>102</v>
      </c>
      <c r="R4" s="84" t="s">
        <v>103</v>
      </c>
      <c r="S4" s="75" t="s">
        <v>100</v>
      </c>
      <c r="T4" s="10" t="s">
        <v>108</v>
      </c>
      <c r="U4" s="10" t="s">
        <v>106</v>
      </c>
      <c r="V4" s="76" t="s">
        <v>110</v>
      </c>
    </row>
    <row r="5" spans="2:22" x14ac:dyDescent="0.35">
      <c r="B5" s="74">
        <v>1</v>
      </c>
      <c r="C5" s="21">
        <f>1-SUM(D5:E5)</f>
        <v>0.97850000000000004</v>
      </c>
      <c r="D5" s="5">
        <f>'Q.3.Input'!$C$3</f>
        <v>0.02</v>
      </c>
      <c r="E5" s="5">
        <f>'Q.3.Input'!$C$4</f>
        <v>1.5E-3</v>
      </c>
      <c r="F5" s="5">
        <f>1-SUM(G5:H5)</f>
        <v>4.7000000000000042E-2</v>
      </c>
      <c r="G5" s="5">
        <f>'Q.3.Input'!$C$6</f>
        <v>0.95</v>
      </c>
      <c r="H5" s="27">
        <f>'Q.3.Input'!$C$5</f>
        <v>3.0000000000000001E-3</v>
      </c>
      <c r="I5" s="77">
        <v>100000</v>
      </c>
      <c r="J5" s="14">
        <f>D5*I5</f>
        <v>2000</v>
      </c>
      <c r="K5" s="14">
        <f>O5</f>
        <v>0</v>
      </c>
      <c r="L5" s="14">
        <f>(I5-J5+K5)*E5</f>
        <v>147</v>
      </c>
      <c r="M5" s="78">
        <f>I5-J5+K5-L5</f>
        <v>97853</v>
      </c>
      <c r="N5" s="77">
        <v>0</v>
      </c>
      <c r="O5" s="14">
        <f>N5*G5</f>
        <v>0</v>
      </c>
      <c r="P5" s="14">
        <f>J5</f>
        <v>2000</v>
      </c>
      <c r="Q5" s="14">
        <f t="shared" ref="Q5" si="0">(N5-O5+P5)*H5</f>
        <v>6</v>
      </c>
      <c r="R5" s="78">
        <f>N5-O5+P5-Q5</f>
        <v>1994</v>
      </c>
      <c r="S5" s="21">
        <v>0</v>
      </c>
      <c r="T5" s="14">
        <f>L5</f>
        <v>147</v>
      </c>
      <c r="U5" s="14">
        <f>Q5</f>
        <v>6</v>
      </c>
      <c r="V5" s="78">
        <f>S5+T5+U5</f>
        <v>153</v>
      </c>
    </row>
    <row r="6" spans="2:22" x14ac:dyDescent="0.35">
      <c r="B6" s="74">
        <f>B5+1</f>
        <v>2</v>
      </c>
      <c r="C6" s="21">
        <f t="shared" ref="C6:C12" si="1">1-SUM(D6:E6)</f>
        <v>0.97850000000000004</v>
      </c>
      <c r="D6" s="5">
        <f>'Q.3.Input'!$C$3</f>
        <v>0.02</v>
      </c>
      <c r="E6" s="5">
        <f>'Q.3.Input'!$C$4</f>
        <v>1.5E-3</v>
      </c>
      <c r="F6" s="5">
        <f t="shared" ref="F6:F12" si="2">1-SUM(G6:H6)</f>
        <v>4.7000000000000042E-2</v>
      </c>
      <c r="G6" s="5">
        <f>'Q.3.Input'!$C$6</f>
        <v>0.95</v>
      </c>
      <c r="H6" s="27">
        <f>'Q.3.Input'!$C$5</f>
        <v>3.0000000000000001E-3</v>
      </c>
      <c r="I6" s="79">
        <f>M5</f>
        <v>97853</v>
      </c>
      <c r="J6" s="14">
        <f>D6*I6</f>
        <v>1957.06</v>
      </c>
      <c r="K6" s="14">
        <f t="shared" ref="K6:K12" si="3">O6</f>
        <v>1894.3</v>
      </c>
      <c r="L6" s="14">
        <f>(I6-J6+K6)*E6</f>
        <v>146.68536</v>
      </c>
      <c r="M6" s="78">
        <f t="shared" ref="M6:M12" si="4">I6-J6+K6-L6</f>
        <v>97643.554640000002</v>
      </c>
      <c r="N6" s="79">
        <f>R5</f>
        <v>1994</v>
      </c>
      <c r="O6" s="14">
        <f>N6*G6</f>
        <v>1894.3</v>
      </c>
      <c r="P6" s="14">
        <f>J6</f>
        <v>1957.06</v>
      </c>
      <c r="Q6" s="14">
        <f>(N6-O6+P6)*H6</f>
        <v>6.1702800000000009</v>
      </c>
      <c r="R6" s="78">
        <f>N6-O6+P6-Q6</f>
        <v>2050.5897200000004</v>
      </c>
      <c r="S6" s="79">
        <f>V5</f>
        <v>153</v>
      </c>
      <c r="T6" s="14">
        <f t="shared" ref="T6" si="5">L6</f>
        <v>146.68536</v>
      </c>
      <c r="U6" s="14">
        <f t="shared" ref="U6" si="6">Q6</f>
        <v>6.1702800000000009</v>
      </c>
      <c r="V6" s="78">
        <f t="shared" ref="V6" si="7">S6+T6+U6</f>
        <v>305.85563999999999</v>
      </c>
    </row>
    <row r="7" spans="2:22" x14ac:dyDescent="0.35">
      <c r="B7" s="74">
        <f t="shared" ref="B7:B12" si="8">B6+1</f>
        <v>3</v>
      </c>
      <c r="C7" s="21">
        <f t="shared" si="1"/>
        <v>0.97850000000000004</v>
      </c>
      <c r="D7" s="5">
        <f>'Q.3.Input'!$C$3</f>
        <v>0.02</v>
      </c>
      <c r="E7" s="5">
        <f>'Q.3.Input'!$C$4</f>
        <v>1.5E-3</v>
      </c>
      <c r="F7" s="5">
        <f t="shared" si="2"/>
        <v>4.7000000000000042E-2</v>
      </c>
      <c r="G7" s="5">
        <f>'Q.3.Input'!$C$6</f>
        <v>0.95</v>
      </c>
      <c r="H7" s="27">
        <f>'Q.3.Input'!$C$5</f>
        <v>3.0000000000000001E-3</v>
      </c>
      <c r="I7" s="79">
        <f t="shared" ref="I7:I12" si="9">M6</f>
        <v>97643.554640000002</v>
      </c>
      <c r="J7" s="14">
        <f t="shared" ref="J7:J12" si="10">D7*I7</f>
        <v>1952.8710928</v>
      </c>
      <c r="K7" s="14">
        <f t="shared" si="3"/>
        <v>1948.0602340000003</v>
      </c>
      <c r="L7" s="14">
        <f t="shared" ref="L7:L12" si="11">(I7-J7+K7)*E7</f>
        <v>146.45811567179999</v>
      </c>
      <c r="M7" s="78">
        <f t="shared" si="4"/>
        <v>97492.285665528194</v>
      </c>
      <c r="N7" s="79">
        <f t="shared" ref="N7:N12" si="12">R6</f>
        <v>2050.5897200000004</v>
      </c>
      <c r="O7" s="14">
        <f t="shared" ref="O7:O12" si="13">N7*G7</f>
        <v>1948.0602340000003</v>
      </c>
      <c r="P7" s="14">
        <f t="shared" ref="P7:P12" si="14">J7</f>
        <v>1952.8710928</v>
      </c>
      <c r="Q7" s="14">
        <f t="shared" ref="Q7:Q12" si="15">(N7-O7+P7)*H7</f>
        <v>6.1662017364000015</v>
      </c>
      <c r="R7" s="78">
        <f t="shared" ref="R7:R12" si="16">N7-O7+P7-Q7</f>
        <v>2049.2343770636003</v>
      </c>
      <c r="S7" s="79">
        <f t="shared" ref="S7:S12" si="17">V6</f>
        <v>305.85563999999999</v>
      </c>
      <c r="T7" s="14">
        <f t="shared" ref="T7:T12" si="18">L7</f>
        <v>146.45811567179999</v>
      </c>
      <c r="U7" s="14">
        <f t="shared" ref="U7:U12" si="19">Q7</f>
        <v>6.1662017364000015</v>
      </c>
      <c r="V7" s="78">
        <f t="shared" ref="V7:V12" si="20">S7+T7+U7</f>
        <v>458.47995740819999</v>
      </c>
    </row>
    <row r="8" spans="2:22" x14ac:dyDescent="0.35">
      <c r="B8" s="74">
        <f t="shared" si="8"/>
        <v>4</v>
      </c>
      <c r="C8" s="21">
        <f t="shared" si="1"/>
        <v>0.97850000000000004</v>
      </c>
      <c r="D8" s="5">
        <f>'Q.3.Input'!$C$3</f>
        <v>0.02</v>
      </c>
      <c r="E8" s="5">
        <f>'Q.3.Input'!$C$4</f>
        <v>1.5E-3</v>
      </c>
      <c r="F8" s="5">
        <f t="shared" si="2"/>
        <v>4.7000000000000042E-2</v>
      </c>
      <c r="G8" s="5">
        <f>'Q.3.Input'!$C$6</f>
        <v>0.95</v>
      </c>
      <c r="H8" s="27">
        <f>'Q.3.Input'!$C$5</f>
        <v>3.0000000000000001E-3</v>
      </c>
      <c r="I8" s="79">
        <f t="shared" si="9"/>
        <v>97492.285665528194</v>
      </c>
      <c r="J8" s="14">
        <f t="shared" si="10"/>
        <v>1949.845713310564</v>
      </c>
      <c r="K8" s="14">
        <f t="shared" si="3"/>
        <v>1946.7726582104201</v>
      </c>
      <c r="L8" s="14">
        <f t="shared" si="11"/>
        <v>146.23381891564208</v>
      </c>
      <c r="M8" s="78">
        <f t="shared" si="4"/>
        <v>97342.978791512403</v>
      </c>
      <c r="N8" s="79">
        <f t="shared" si="12"/>
        <v>2049.2343770636003</v>
      </c>
      <c r="O8" s="14">
        <f t="shared" si="13"/>
        <v>1946.7726582104201</v>
      </c>
      <c r="P8" s="14">
        <f t="shared" si="14"/>
        <v>1949.845713310564</v>
      </c>
      <c r="Q8" s="14">
        <f t="shared" si="15"/>
        <v>6.1569222964912322</v>
      </c>
      <c r="R8" s="78">
        <f t="shared" si="16"/>
        <v>2046.1505098672528</v>
      </c>
      <c r="S8" s="79">
        <f t="shared" si="17"/>
        <v>458.47995740819999</v>
      </c>
      <c r="T8" s="14">
        <f t="shared" si="18"/>
        <v>146.23381891564208</v>
      </c>
      <c r="U8" s="14">
        <f t="shared" si="19"/>
        <v>6.1569222964912322</v>
      </c>
      <c r="V8" s="78">
        <f t="shared" si="20"/>
        <v>610.8706986203332</v>
      </c>
    </row>
    <row r="9" spans="2:22" x14ac:dyDescent="0.35">
      <c r="B9" s="74">
        <f t="shared" si="8"/>
        <v>5</v>
      </c>
      <c r="C9" s="21">
        <f t="shared" si="1"/>
        <v>0.97850000000000004</v>
      </c>
      <c r="D9" s="5">
        <f>'Q.3.Input'!$C$3</f>
        <v>0.02</v>
      </c>
      <c r="E9" s="5">
        <f>'Q.3.Input'!$C$4</f>
        <v>1.5E-3</v>
      </c>
      <c r="F9" s="5">
        <f t="shared" si="2"/>
        <v>4.7000000000000042E-2</v>
      </c>
      <c r="G9" s="5">
        <f>'Q.3.Input'!$C$6</f>
        <v>0.95</v>
      </c>
      <c r="H9" s="27">
        <f>'Q.3.Input'!$C$5</f>
        <v>3.0000000000000001E-3</v>
      </c>
      <c r="I9" s="79">
        <f t="shared" si="9"/>
        <v>97342.978791512403</v>
      </c>
      <c r="J9" s="14">
        <f t="shared" si="10"/>
        <v>1946.8595758302481</v>
      </c>
      <c r="K9" s="14">
        <f t="shared" si="3"/>
        <v>1943.8429843738902</v>
      </c>
      <c r="L9" s="14">
        <f t="shared" si="11"/>
        <v>146.00994330008405</v>
      </c>
      <c r="M9" s="78">
        <f t="shared" si="4"/>
        <v>97193.952256755947</v>
      </c>
      <c r="N9" s="79">
        <f t="shared" si="12"/>
        <v>2046.1505098672528</v>
      </c>
      <c r="O9" s="14">
        <f t="shared" si="13"/>
        <v>1943.8429843738902</v>
      </c>
      <c r="P9" s="14">
        <f t="shared" si="14"/>
        <v>1946.8595758302481</v>
      </c>
      <c r="Q9" s="14">
        <f t="shared" si="15"/>
        <v>6.1475013039708326</v>
      </c>
      <c r="R9" s="78">
        <f t="shared" si="16"/>
        <v>2043.0196000196402</v>
      </c>
      <c r="S9" s="79">
        <f t="shared" si="17"/>
        <v>610.8706986203332</v>
      </c>
      <c r="T9" s="14">
        <f t="shared" si="18"/>
        <v>146.00994330008405</v>
      </c>
      <c r="U9" s="14">
        <f t="shared" si="19"/>
        <v>6.1475013039708326</v>
      </c>
      <c r="V9" s="78">
        <f t="shared" si="20"/>
        <v>763.02814322438803</v>
      </c>
    </row>
    <row r="10" spans="2:22" x14ac:dyDescent="0.35">
      <c r="B10" s="74">
        <f t="shared" si="8"/>
        <v>6</v>
      </c>
      <c r="C10" s="21">
        <f t="shared" si="1"/>
        <v>0.97850000000000004</v>
      </c>
      <c r="D10" s="5">
        <f>'Q.3.Input'!$C$3</f>
        <v>0.02</v>
      </c>
      <c r="E10" s="5">
        <f>'Q.3.Input'!$C$4</f>
        <v>1.5E-3</v>
      </c>
      <c r="F10" s="5">
        <f t="shared" si="2"/>
        <v>4.7000000000000042E-2</v>
      </c>
      <c r="G10" s="5">
        <f>'Q.3.Input'!$C$6</f>
        <v>0.95</v>
      </c>
      <c r="H10" s="27">
        <f>'Q.3.Input'!$C$5</f>
        <v>3.0000000000000001E-3</v>
      </c>
      <c r="I10" s="79">
        <f t="shared" si="9"/>
        <v>97193.952256755947</v>
      </c>
      <c r="J10" s="14">
        <f t="shared" si="10"/>
        <v>1943.879045135119</v>
      </c>
      <c r="K10" s="14">
        <f t="shared" si="3"/>
        <v>1940.868620018658</v>
      </c>
      <c r="L10" s="14">
        <f t="shared" si="11"/>
        <v>145.78641274745922</v>
      </c>
      <c r="M10" s="78">
        <f t="shared" si="4"/>
        <v>97045.155418892027</v>
      </c>
      <c r="N10" s="79">
        <f t="shared" si="12"/>
        <v>2043.0196000196402</v>
      </c>
      <c r="O10" s="14">
        <f t="shared" si="13"/>
        <v>1940.868620018658</v>
      </c>
      <c r="P10" s="14">
        <f t="shared" si="14"/>
        <v>1943.879045135119</v>
      </c>
      <c r="Q10" s="14">
        <f t="shared" si="15"/>
        <v>6.1380900754083036</v>
      </c>
      <c r="R10" s="78">
        <f t="shared" si="16"/>
        <v>2039.8919350606927</v>
      </c>
      <c r="S10" s="79">
        <f t="shared" si="17"/>
        <v>763.02814322438803</v>
      </c>
      <c r="T10" s="14">
        <f t="shared" si="18"/>
        <v>145.78641274745922</v>
      </c>
      <c r="U10" s="14">
        <f t="shared" si="19"/>
        <v>6.1380900754083036</v>
      </c>
      <c r="V10" s="78">
        <f t="shared" si="20"/>
        <v>914.9526460472556</v>
      </c>
    </row>
    <row r="11" spans="2:22" x14ac:dyDescent="0.35">
      <c r="B11" s="74">
        <f t="shared" si="8"/>
        <v>7</v>
      </c>
      <c r="C11" s="21">
        <f t="shared" si="1"/>
        <v>0.97850000000000004</v>
      </c>
      <c r="D11" s="5">
        <f>'Q.3.Input'!$C$3</f>
        <v>0.02</v>
      </c>
      <c r="E11" s="5">
        <f>'Q.3.Input'!$C$4</f>
        <v>1.5E-3</v>
      </c>
      <c r="F11" s="5">
        <f t="shared" si="2"/>
        <v>4.7000000000000042E-2</v>
      </c>
      <c r="G11" s="5">
        <f>'Q.3.Input'!$C$6</f>
        <v>0.95</v>
      </c>
      <c r="H11" s="27">
        <f>'Q.3.Input'!$C$5</f>
        <v>3.0000000000000001E-3</v>
      </c>
      <c r="I11" s="79">
        <f t="shared" si="9"/>
        <v>97045.155418892027</v>
      </c>
      <c r="J11" s="14">
        <f t="shared" si="10"/>
        <v>1940.9031083778407</v>
      </c>
      <c r="K11" s="14">
        <f t="shared" si="3"/>
        <v>1937.8973383076579</v>
      </c>
      <c r="L11" s="14">
        <f t="shared" si="11"/>
        <v>145.56322447323276</v>
      </c>
      <c r="M11" s="78">
        <f t="shared" si="4"/>
        <v>96896.586424348614</v>
      </c>
      <c r="N11" s="79">
        <f t="shared" si="12"/>
        <v>2039.8919350606927</v>
      </c>
      <c r="O11" s="14">
        <f t="shared" si="13"/>
        <v>1937.8973383076579</v>
      </c>
      <c r="P11" s="14">
        <f t="shared" si="14"/>
        <v>1940.9031083778407</v>
      </c>
      <c r="Q11" s="14">
        <f t="shared" si="15"/>
        <v>6.1286931153926263</v>
      </c>
      <c r="R11" s="78">
        <f t="shared" si="16"/>
        <v>2036.7690120154828</v>
      </c>
      <c r="S11" s="79">
        <f t="shared" si="17"/>
        <v>914.9526460472556</v>
      </c>
      <c r="T11" s="14">
        <f t="shared" si="18"/>
        <v>145.56322447323276</v>
      </c>
      <c r="U11" s="14">
        <f t="shared" si="19"/>
        <v>6.1286931153926263</v>
      </c>
      <c r="V11" s="78">
        <f t="shared" si="20"/>
        <v>1066.644563635881</v>
      </c>
    </row>
    <row r="12" spans="2:22" x14ac:dyDescent="0.35">
      <c r="B12" s="74">
        <f t="shared" si="8"/>
        <v>8</v>
      </c>
      <c r="C12" s="21">
        <f t="shared" si="1"/>
        <v>0.97850000000000004</v>
      </c>
      <c r="D12" s="5">
        <f>'Q.3.Input'!$C$3</f>
        <v>0.02</v>
      </c>
      <c r="E12" s="5">
        <f>'Q.3.Input'!$C$4</f>
        <v>1.5E-3</v>
      </c>
      <c r="F12" s="5">
        <f t="shared" si="2"/>
        <v>4.7000000000000042E-2</v>
      </c>
      <c r="G12" s="5">
        <f>'Q.3.Input'!$C$6</f>
        <v>0.95</v>
      </c>
      <c r="H12" s="27">
        <f>'Q.3.Input'!$C$5</f>
        <v>3.0000000000000001E-3</v>
      </c>
      <c r="I12" s="79">
        <f t="shared" si="9"/>
        <v>96896.586424348614</v>
      </c>
      <c r="J12" s="14">
        <f t="shared" si="10"/>
        <v>1937.9317284869724</v>
      </c>
      <c r="K12" s="14">
        <f t="shared" si="3"/>
        <v>1934.9305614147086</v>
      </c>
      <c r="L12" s="14">
        <f t="shared" si="11"/>
        <v>145.34037788591451</v>
      </c>
      <c r="M12" s="78">
        <f t="shared" si="4"/>
        <v>96748.244879390419</v>
      </c>
      <c r="N12" s="79">
        <f t="shared" si="12"/>
        <v>2036.7690120154828</v>
      </c>
      <c r="O12" s="14">
        <f t="shared" si="13"/>
        <v>1934.9305614147086</v>
      </c>
      <c r="P12" s="14">
        <f t="shared" si="14"/>
        <v>1937.9317284869724</v>
      </c>
      <c r="Q12" s="14">
        <f t="shared" si="15"/>
        <v>6.1193105372632397</v>
      </c>
      <c r="R12" s="78">
        <f t="shared" si="16"/>
        <v>2033.6508685504832</v>
      </c>
      <c r="S12" s="79">
        <f t="shared" si="17"/>
        <v>1066.644563635881</v>
      </c>
      <c r="T12" s="14">
        <f t="shared" si="18"/>
        <v>145.34037788591451</v>
      </c>
      <c r="U12" s="14">
        <f t="shared" si="19"/>
        <v>6.1193105372632397</v>
      </c>
      <c r="V12" s="78">
        <f t="shared" si="20"/>
        <v>1218.1042520590588</v>
      </c>
    </row>
    <row r="13" spans="2:22" x14ac:dyDescent="0.35">
      <c r="B13" s="74">
        <f t="shared" ref="B13:B14" si="21">B12+1</f>
        <v>9</v>
      </c>
      <c r="C13" s="21">
        <f t="shared" ref="C13:C14" si="22">1-SUM(D13:E13)</f>
        <v>0.97850000000000004</v>
      </c>
      <c r="D13" s="5">
        <f>'Q.3.Input'!$C$3</f>
        <v>0.02</v>
      </c>
      <c r="E13" s="5">
        <f>'Q.3.Input'!$C$4</f>
        <v>1.5E-3</v>
      </c>
      <c r="F13" s="5">
        <f t="shared" ref="F13:F14" si="23">1-SUM(G13:H13)</f>
        <v>4.7000000000000042E-2</v>
      </c>
      <c r="G13" s="5">
        <f>'Q.3.Input'!$C$6</f>
        <v>0.95</v>
      </c>
      <c r="H13" s="27">
        <f>'Q.3.Input'!$C$5</f>
        <v>3.0000000000000001E-3</v>
      </c>
      <c r="I13" s="79">
        <f t="shared" ref="I13:I14" si="24">M12</f>
        <v>96748.244879390419</v>
      </c>
      <c r="J13" s="14">
        <f t="shared" ref="J13:J14" si="25">D13*I13</f>
        <v>1934.9648975878083</v>
      </c>
      <c r="K13" s="14">
        <f t="shared" ref="K13:K14" si="26">O13</f>
        <v>1931.968325122959</v>
      </c>
      <c r="L13" s="14">
        <f t="shared" ref="L13:L14" si="27">(I13-J13+K13)*E13</f>
        <v>145.11787246038836</v>
      </c>
      <c r="M13" s="78">
        <f t="shared" ref="M13:M14" si="28">I13-J13+K13-L13</f>
        <v>96600.130434465187</v>
      </c>
      <c r="N13" s="79">
        <f t="shared" ref="N13:N14" si="29">R12</f>
        <v>2033.6508685504832</v>
      </c>
      <c r="O13" s="14">
        <f t="shared" ref="O13:O14" si="30">N13*G13</f>
        <v>1931.968325122959</v>
      </c>
      <c r="P13" s="14">
        <f t="shared" ref="P13:P14" si="31">J13</f>
        <v>1934.9648975878083</v>
      </c>
      <c r="Q13" s="14">
        <f t="shared" ref="Q13:Q14" si="32">(N13-O13+P13)*H13</f>
        <v>6.1099423230459982</v>
      </c>
      <c r="R13" s="78">
        <f t="shared" ref="R13:R14" si="33">N13-O13+P13-Q13</f>
        <v>2030.5374986922866</v>
      </c>
      <c r="S13" s="79">
        <f t="shared" ref="S13:S14" si="34">V12</f>
        <v>1218.1042520590588</v>
      </c>
      <c r="T13" s="14">
        <f t="shared" ref="T13:T14" si="35">L13</f>
        <v>145.11787246038836</v>
      </c>
      <c r="U13" s="14">
        <f t="shared" ref="U13:U14" si="36">Q13</f>
        <v>6.1099423230459982</v>
      </c>
      <c r="V13" s="78">
        <f t="shared" ref="V13:V14" si="37">S13+T13+U13</f>
        <v>1369.3320668424931</v>
      </c>
    </row>
    <row r="14" spans="2:22" x14ac:dyDescent="0.35">
      <c r="B14" s="74">
        <f t="shared" si="21"/>
        <v>10</v>
      </c>
      <c r="C14" s="21">
        <f t="shared" si="22"/>
        <v>0.97850000000000004</v>
      </c>
      <c r="D14" s="5">
        <f>'Q.3.Input'!$C$3</f>
        <v>0.02</v>
      </c>
      <c r="E14" s="5">
        <f>'Q.3.Input'!$C$4</f>
        <v>1.5E-3</v>
      </c>
      <c r="F14" s="5">
        <f t="shared" si="23"/>
        <v>4.7000000000000042E-2</v>
      </c>
      <c r="G14" s="5">
        <f>'Q.3.Input'!$C$6</f>
        <v>0.95</v>
      </c>
      <c r="H14" s="27">
        <f>'Q.3.Input'!$C$5</f>
        <v>3.0000000000000001E-3</v>
      </c>
      <c r="I14" s="79">
        <f t="shared" si="24"/>
        <v>96600.130434465187</v>
      </c>
      <c r="J14" s="14">
        <f t="shared" si="25"/>
        <v>1932.0026086893038</v>
      </c>
      <c r="K14" s="14">
        <f t="shared" si="26"/>
        <v>1929.0106237576722</v>
      </c>
      <c r="L14" s="14">
        <f t="shared" si="27"/>
        <v>144.89570767430033</v>
      </c>
      <c r="M14" s="78">
        <f t="shared" si="28"/>
        <v>96452.242741859256</v>
      </c>
      <c r="N14" s="79">
        <f t="shared" si="29"/>
        <v>2030.5374986922866</v>
      </c>
      <c r="O14" s="14">
        <f t="shared" si="30"/>
        <v>1929.0106237576722</v>
      </c>
      <c r="P14" s="14">
        <f t="shared" si="31"/>
        <v>1932.0026086893038</v>
      </c>
      <c r="Q14" s="14">
        <f t="shared" si="32"/>
        <v>6.1005884508717543</v>
      </c>
      <c r="R14" s="78">
        <f t="shared" si="33"/>
        <v>2027.4288951730464</v>
      </c>
      <c r="S14" s="79">
        <f t="shared" si="34"/>
        <v>1369.3320668424931</v>
      </c>
      <c r="T14" s="14">
        <f t="shared" si="35"/>
        <v>144.89570767430033</v>
      </c>
      <c r="U14" s="14">
        <f t="shared" si="36"/>
        <v>6.1005884508717543</v>
      </c>
      <c r="V14" s="78">
        <f t="shared" si="37"/>
        <v>1520.3283629676653</v>
      </c>
    </row>
  </sheetData>
  <mergeCells count="4">
    <mergeCell ref="C3:H3"/>
    <mergeCell ref="I3:M3"/>
    <mergeCell ref="N3:R3"/>
    <mergeCell ref="S3:V3"/>
  </mergeCells>
  <pageMargins left="0.7" right="0.7" top="0.75" bottom="0.75" header="0.3" footer="0.3"/>
  <headerFooter>
    <oddFooter>&amp;L_x000D_&amp;1#&amp;"Aptos"&amp;10&amp;K000000 Internal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679E-9AE4-41D2-B3AA-51AFD418A259}">
  <dimension ref="B2:L14"/>
  <sheetViews>
    <sheetView showGridLines="0" zoomScaleNormal="100" workbookViewId="0"/>
  </sheetViews>
  <sheetFormatPr defaultRowHeight="14.5" x14ac:dyDescent="0.35"/>
  <cols>
    <col min="3" max="3" width="12.1796875" customWidth="1"/>
    <col min="7" max="7" width="9.6328125" bestFit="1" customWidth="1"/>
    <col min="8" max="8" width="11.1796875" bestFit="1" customWidth="1"/>
    <col min="9" max="10" width="13.81640625" bestFit="1" customWidth="1"/>
    <col min="11" max="11" width="11.1796875" bestFit="1" customWidth="1"/>
  </cols>
  <sheetData>
    <row r="2" spans="2:12" s="96" customFormat="1" x14ac:dyDescent="0.35">
      <c r="C2"/>
      <c r="D2"/>
      <c r="E2"/>
      <c r="F2"/>
      <c r="G2"/>
      <c r="H2"/>
      <c r="I2"/>
      <c r="J2"/>
      <c r="K2"/>
    </row>
    <row r="3" spans="2:12" x14ac:dyDescent="0.35"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2:12" ht="72.5" x14ac:dyDescent="0.35">
      <c r="B4" s="85" t="s">
        <v>55</v>
      </c>
      <c r="C4" s="10" t="s">
        <v>111</v>
      </c>
      <c r="D4" s="10" t="s">
        <v>112</v>
      </c>
      <c r="E4" s="10" t="s">
        <v>113</v>
      </c>
      <c r="F4" s="10" t="s">
        <v>114</v>
      </c>
      <c r="G4" s="10" t="s">
        <v>115</v>
      </c>
      <c r="H4" s="10" t="s">
        <v>116</v>
      </c>
      <c r="I4" s="10" t="s">
        <v>119</v>
      </c>
      <c r="J4" s="10" t="s">
        <v>120</v>
      </c>
      <c r="K4" s="10" t="s">
        <v>121</v>
      </c>
      <c r="L4" s="96"/>
    </row>
    <row r="5" spans="2:12" x14ac:dyDescent="0.35">
      <c r="B5" s="5">
        <f>'Q.3.i'!B5</f>
        <v>1</v>
      </c>
      <c r="C5" s="14">
        <f>'Q.3.i'!N5</f>
        <v>0</v>
      </c>
      <c r="D5" s="14">
        <f>'Q.3.i'!L5</f>
        <v>147</v>
      </c>
      <c r="E5" s="14">
        <f>'Q.3.i'!Q5</f>
        <v>6</v>
      </c>
      <c r="F5" s="14">
        <f>D5+E5</f>
        <v>153</v>
      </c>
      <c r="G5" s="14">
        <f>'Q.3.Input'!$C$10</f>
        <v>10000</v>
      </c>
      <c r="H5" s="14">
        <f>'Q.3.Input'!$C$11</f>
        <v>100000</v>
      </c>
      <c r="I5" s="7">
        <f>G5*C5</f>
        <v>0</v>
      </c>
      <c r="J5" s="7">
        <f>F5*H5</f>
        <v>15300000</v>
      </c>
      <c r="K5" s="67">
        <f>I5+J5</f>
        <v>15300000</v>
      </c>
    </row>
    <row r="6" spans="2:12" x14ac:dyDescent="0.35">
      <c r="B6" s="5">
        <f>'Q.3.i'!B6</f>
        <v>2</v>
      </c>
      <c r="C6" s="14">
        <f>'Q.3.i'!N6</f>
        <v>1994</v>
      </c>
      <c r="D6" s="14">
        <f>'Q.3.i'!L6</f>
        <v>146.68536</v>
      </c>
      <c r="E6" s="14">
        <f>'Q.3.i'!Q6</f>
        <v>6.1702800000000009</v>
      </c>
      <c r="F6" s="14">
        <f t="shared" ref="F6:F14" si="0">D6+E6</f>
        <v>152.85563999999999</v>
      </c>
      <c r="G6" s="14">
        <f>'Q.3.Input'!$C$10</f>
        <v>10000</v>
      </c>
      <c r="H6" s="14">
        <f>'Q.3.Input'!$C$11</f>
        <v>100000</v>
      </c>
      <c r="I6" s="7">
        <f>G6*C6</f>
        <v>19940000</v>
      </c>
      <c r="J6" s="7">
        <f t="shared" ref="J6:J14" si="1">F6*H6</f>
        <v>15285564</v>
      </c>
      <c r="K6" s="67">
        <f t="shared" ref="K6:K14" si="2">I6+J6</f>
        <v>35225564</v>
      </c>
    </row>
    <row r="7" spans="2:12" x14ac:dyDescent="0.35">
      <c r="B7" s="5">
        <f>'Q.3.i'!B7</f>
        <v>3</v>
      </c>
      <c r="C7" s="14">
        <f>'Q.3.i'!N7</f>
        <v>2050.5897200000004</v>
      </c>
      <c r="D7" s="14">
        <f>'Q.3.i'!L7</f>
        <v>146.45811567179999</v>
      </c>
      <c r="E7" s="14">
        <f>'Q.3.i'!Q7</f>
        <v>6.1662017364000015</v>
      </c>
      <c r="F7" s="14">
        <f t="shared" si="0"/>
        <v>152.6243174082</v>
      </c>
      <c r="G7" s="14">
        <f>'Q.3.Input'!$C$10</f>
        <v>10000</v>
      </c>
      <c r="H7" s="14">
        <f>'Q.3.Input'!$C$11</f>
        <v>100000</v>
      </c>
      <c r="I7" s="7">
        <f t="shared" ref="I7:I14" si="3">G7*C7</f>
        <v>20505897.200000003</v>
      </c>
      <c r="J7" s="7">
        <f t="shared" si="1"/>
        <v>15262431.74082</v>
      </c>
      <c r="K7" s="67">
        <f t="shared" si="2"/>
        <v>35768328.940820001</v>
      </c>
    </row>
    <row r="8" spans="2:12" x14ac:dyDescent="0.35">
      <c r="B8" s="5">
        <f>'Q.3.i'!B8</f>
        <v>4</v>
      </c>
      <c r="C8" s="14">
        <f>'Q.3.i'!N8</f>
        <v>2049.2343770636003</v>
      </c>
      <c r="D8" s="14">
        <f>'Q.3.i'!L8</f>
        <v>146.23381891564208</v>
      </c>
      <c r="E8" s="14">
        <f>'Q.3.i'!Q8</f>
        <v>6.1569222964912322</v>
      </c>
      <c r="F8" s="14">
        <f t="shared" si="0"/>
        <v>152.39074121213332</v>
      </c>
      <c r="G8" s="14">
        <f>'Q.3.Input'!$C$10</f>
        <v>10000</v>
      </c>
      <c r="H8" s="14">
        <f>'Q.3.Input'!$C$11</f>
        <v>100000</v>
      </c>
      <c r="I8" s="7">
        <f t="shared" si="3"/>
        <v>20492343.770636003</v>
      </c>
      <c r="J8" s="7">
        <f t="shared" si="1"/>
        <v>15239074.121213332</v>
      </c>
      <c r="K8" s="67">
        <f t="shared" si="2"/>
        <v>35731417.891849339</v>
      </c>
    </row>
    <row r="9" spans="2:12" x14ac:dyDescent="0.35">
      <c r="B9" s="5">
        <f>'Q.3.i'!B9</f>
        <v>5</v>
      </c>
      <c r="C9" s="14">
        <f>'Q.3.i'!N9</f>
        <v>2046.1505098672528</v>
      </c>
      <c r="D9" s="14">
        <f>'Q.3.i'!L9</f>
        <v>146.00994330008405</v>
      </c>
      <c r="E9" s="14">
        <f>'Q.3.i'!Q9</f>
        <v>6.1475013039708326</v>
      </c>
      <c r="F9" s="14">
        <f t="shared" si="0"/>
        <v>152.15744460405489</v>
      </c>
      <c r="G9" s="14">
        <f>'Q.3.Input'!$C$10</f>
        <v>10000</v>
      </c>
      <c r="H9" s="14">
        <f>'Q.3.Input'!$C$11</f>
        <v>100000</v>
      </c>
      <c r="I9" s="7">
        <f t="shared" si="3"/>
        <v>20461505.098672528</v>
      </c>
      <c r="J9" s="7">
        <f t="shared" si="1"/>
        <v>15215744.460405489</v>
      </c>
      <c r="K9" s="67">
        <f t="shared" si="2"/>
        <v>35677249.559078015</v>
      </c>
    </row>
    <row r="10" spans="2:12" x14ac:dyDescent="0.35">
      <c r="B10" s="5">
        <f>'Q.3.i'!B10</f>
        <v>6</v>
      </c>
      <c r="C10" s="14">
        <f>'Q.3.i'!N10</f>
        <v>2043.0196000196402</v>
      </c>
      <c r="D10" s="14">
        <f>'Q.3.i'!L10</f>
        <v>145.78641274745922</v>
      </c>
      <c r="E10" s="14">
        <f>'Q.3.i'!Q10</f>
        <v>6.1380900754083036</v>
      </c>
      <c r="F10" s="14">
        <f t="shared" si="0"/>
        <v>151.92450282286754</v>
      </c>
      <c r="G10" s="14">
        <f>'Q.3.Input'!$C$10</f>
        <v>10000</v>
      </c>
      <c r="H10" s="14">
        <f>'Q.3.Input'!$C$11</f>
        <v>100000</v>
      </c>
      <c r="I10" s="7">
        <f t="shared" si="3"/>
        <v>20430196.000196401</v>
      </c>
      <c r="J10" s="7">
        <f t="shared" si="1"/>
        <v>15192450.282286754</v>
      </c>
      <c r="K10" s="67">
        <f t="shared" si="2"/>
        <v>35622646.282483153</v>
      </c>
    </row>
    <row r="11" spans="2:12" x14ac:dyDescent="0.35">
      <c r="B11" s="5">
        <f>'Q.3.i'!B11</f>
        <v>7</v>
      </c>
      <c r="C11" s="14">
        <f>'Q.3.i'!N11</f>
        <v>2039.8919350606927</v>
      </c>
      <c r="D11" s="14">
        <f>'Q.3.i'!L11</f>
        <v>145.56322447323276</v>
      </c>
      <c r="E11" s="14">
        <f>'Q.3.i'!Q11</f>
        <v>6.1286931153926263</v>
      </c>
      <c r="F11" s="14">
        <f t="shared" si="0"/>
        <v>151.69191758862539</v>
      </c>
      <c r="G11" s="14">
        <f>'Q.3.Input'!$C$10</f>
        <v>10000</v>
      </c>
      <c r="H11" s="14">
        <f>'Q.3.Input'!$C$11</f>
        <v>100000</v>
      </c>
      <c r="I11" s="7">
        <f t="shared" si="3"/>
        <v>20398919.350606926</v>
      </c>
      <c r="J11" s="7">
        <f t="shared" si="1"/>
        <v>15169191.758862538</v>
      </c>
      <c r="K11" s="67">
        <f t="shared" si="2"/>
        <v>35568111.109469466</v>
      </c>
    </row>
    <row r="12" spans="2:12" x14ac:dyDescent="0.35">
      <c r="B12" s="5">
        <f>'Q.3.i'!B12</f>
        <v>8</v>
      </c>
      <c r="C12" s="14">
        <f>'Q.3.i'!N12</f>
        <v>2036.7690120154828</v>
      </c>
      <c r="D12" s="14">
        <f>'Q.3.i'!L12</f>
        <v>145.34037788591451</v>
      </c>
      <c r="E12" s="14">
        <f>'Q.3.i'!Q12</f>
        <v>6.1193105372632397</v>
      </c>
      <c r="F12" s="14">
        <f t="shared" si="0"/>
        <v>151.45968842317774</v>
      </c>
      <c r="G12" s="14">
        <f>'Q.3.Input'!$C$10</f>
        <v>10000</v>
      </c>
      <c r="H12" s="14">
        <f>'Q.3.Input'!$C$11</f>
        <v>100000</v>
      </c>
      <c r="I12" s="7">
        <f t="shared" si="3"/>
        <v>20367690.120154828</v>
      </c>
      <c r="J12" s="7">
        <f t="shared" si="1"/>
        <v>15145968.842317773</v>
      </c>
      <c r="K12" s="67">
        <f t="shared" si="2"/>
        <v>35513658.962472603</v>
      </c>
    </row>
    <row r="13" spans="2:12" x14ac:dyDescent="0.35">
      <c r="B13" s="5">
        <f>'Q.3.i'!B13</f>
        <v>9</v>
      </c>
      <c r="C13" s="14">
        <f>'Q.3.i'!N13</f>
        <v>2033.6508685504832</v>
      </c>
      <c r="D13" s="14">
        <f>'Q.3.i'!L13</f>
        <v>145.11787246038836</v>
      </c>
      <c r="E13" s="14">
        <f>'Q.3.i'!Q13</f>
        <v>6.1099423230459982</v>
      </c>
      <c r="F13" s="14">
        <f t="shared" si="0"/>
        <v>151.22781478343435</v>
      </c>
      <c r="G13" s="14">
        <f>'Q.3.Input'!$C$10</f>
        <v>10000</v>
      </c>
      <c r="H13" s="14">
        <f>'Q.3.Input'!$C$11</f>
        <v>100000</v>
      </c>
      <c r="I13" s="7">
        <f t="shared" si="3"/>
        <v>20336508.685504831</v>
      </c>
      <c r="J13" s="7">
        <f t="shared" si="1"/>
        <v>15122781.478343435</v>
      </c>
      <c r="K13" s="67">
        <f t="shared" si="2"/>
        <v>35459290.163848266</v>
      </c>
    </row>
    <row r="14" spans="2:12" x14ac:dyDescent="0.35">
      <c r="B14" s="5">
        <v>10</v>
      </c>
      <c r="C14" s="14">
        <f>'Q.3.i'!N14</f>
        <v>2030.5374986922866</v>
      </c>
      <c r="D14" s="14">
        <f>'Q.3.i'!L14</f>
        <v>144.89570767430033</v>
      </c>
      <c r="E14" s="14">
        <f>'Q.3.i'!Q14</f>
        <v>6.1005884508717543</v>
      </c>
      <c r="F14" s="14">
        <f t="shared" si="0"/>
        <v>150.99629612517208</v>
      </c>
      <c r="G14" s="14">
        <f>'Q.3.Input'!$C$10</f>
        <v>10000</v>
      </c>
      <c r="H14" s="14">
        <f>'Q.3.Input'!$C$11</f>
        <v>100000</v>
      </c>
      <c r="I14" s="7">
        <f t="shared" si="3"/>
        <v>20305374.986922868</v>
      </c>
      <c r="J14" s="7">
        <f t="shared" si="1"/>
        <v>15099629.612517208</v>
      </c>
      <c r="K14" s="67">
        <f t="shared" si="2"/>
        <v>35405004.599440075</v>
      </c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4D4EE-4773-4343-A534-EF0C5FD149FB}">
  <dimension ref="A2:S15"/>
  <sheetViews>
    <sheetView showGridLines="0" zoomScaleNormal="100" workbookViewId="0"/>
  </sheetViews>
  <sheetFormatPr defaultRowHeight="14.5" x14ac:dyDescent="0.35"/>
  <cols>
    <col min="3" max="3" width="11.1796875" bestFit="1" customWidth="1"/>
    <col min="4" max="4" width="12.1796875" customWidth="1"/>
    <col min="8" max="8" width="14.81640625" bestFit="1" customWidth="1"/>
    <col min="9" max="9" width="13.81640625" bestFit="1" customWidth="1"/>
    <col min="10" max="10" width="13.81640625" customWidth="1"/>
    <col min="11" max="11" width="13.81640625" bestFit="1" customWidth="1"/>
    <col min="12" max="12" width="11.81640625" bestFit="1" customWidth="1"/>
    <col min="14" max="14" width="13.81640625" bestFit="1" customWidth="1"/>
    <col min="15" max="15" width="14.453125" bestFit="1" customWidth="1"/>
    <col min="17" max="17" width="19.54296875" bestFit="1" customWidth="1"/>
    <col min="18" max="18" width="20.81640625" bestFit="1" customWidth="1"/>
  </cols>
  <sheetData>
    <row r="2" spans="1:19" x14ac:dyDescent="0.35">
      <c r="R2" s="96"/>
    </row>
    <row r="3" spans="1:19" ht="15" thickBot="1" x14ac:dyDescent="0.4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Q3" s="69" t="s">
        <v>13</v>
      </c>
      <c r="R3" s="69">
        <v>329.19</v>
      </c>
      <c r="S3" s="72" t="s">
        <v>129</v>
      </c>
    </row>
    <row r="4" spans="1:19" ht="72.5" x14ac:dyDescent="0.35">
      <c r="B4" s="95" t="s">
        <v>55</v>
      </c>
      <c r="C4" s="15" t="s">
        <v>122</v>
      </c>
      <c r="D4" s="17" t="s">
        <v>111</v>
      </c>
      <c r="E4" s="17" t="s">
        <v>112</v>
      </c>
      <c r="F4" s="17" t="s">
        <v>113</v>
      </c>
      <c r="G4" s="18" t="s">
        <v>114</v>
      </c>
      <c r="H4" s="15" t="s">
        <v>13</v>
      </c>
      <c r="I4" s="17" t="s">
        <v>119</v>
      </c>
      <c r="J4" s="17" t="s">
        <v>124</v>
      </c>
      <c r="K4" s="18" t="s">
        <v>120</v>
      </c>
      <c r="L4" s="15" t="s">
        <v>35</v>
      </c>
      <c r="M4" s="17" t="s">
        <v>125</v>
      </c>
      <c r="N4" s="17" t="s">
        <v>126</v>
      </c>
      <c r="O4" s="18" t="s">
        <v>39</v>
      </c>
    </row>
    <row r="5" spans="1:19" x14ac:dyDescent="0.35">
      <c r="B5" s="45">
        <f>'Q.3.i'!B5</f>
        <v>1</v>
      </c>
      <c r="C5" s="79">
        <f>'Q.3.i'!I5</f>
        <v>100000</v>
      </c>
      <c r="D5" s="14">
        <f>'Q.3.i'!N5</f>
        <v>0</v>
      </c>
      <c r="E5" s="14">
        <f>'Q.3.i'!L5</f>
        <v>147</v>
      </c>
      <c r="F5" s="14">
        <f>'Q.3.i'!Q5</f>
        <v>6</v>
      </c>
      <c r="G5" s="78">
        <f>E5+F5</f>
        <v>153</v>
      </c>
      <c r="H5" s="79">
        <f t="shared" ref="H5:H14" si="0">$R$3*C5</f>
        <v>32919000</v>
      </c>
      <c r="I5" s="14">
        <f>'Q.3.ii'!I5</f>
        <v>0</v>
      </c>
      <c r="J5" s="14">
        <f>(H5-I5)*'Q.3.Input'!$C$13</f>
        <v>1975140</v>
      </c>
      <c r="K5" s="78">
        <f>'Q.3.ii'!J5</f>
        <v>15300000</v>
      </c>
      <c r="L5" s="92">
        <f>H5-I5+J5-K5</f>
        <v>19594140</v>
      </c>
      <c r="M5" s="43">
        <f>(1+'Q.3.Input'!$C$14)^-(B5-1)</f>
        <v>1</v>
      </c>
      <c r="N5" s="43">
        <f>H5*M5</f>
        <v>32919000</v>
      </c>
      <c r="O5" s="22">
        <f>L5*M6</f>
        <v>17494767.857142854</v>
      </c>
      <c r="Q5" s="69" t="s">
        <v>39</v>
      </c>
      <c r="R5" s="89">
        <f>SUM(O5:O14)</f>
        <v>4075670.6009265482</v>
      </c>
    </row>
    <row r="6" spans="1:19" x14ac:dyDescent="0.35">
      <c r="B6" s="45">
        <f>B5+1</f>
        <v>2</v>
      </c>
      <c r="C6" s="79">
        <f>'Q.3.i'!I6</f>
        <v>97853</v>
      </c>
      <c r="D6" s="14">
        <f>'Q.3.i'!N6</f>
        <v>1994</v>
      </c>
      <c r="E6" s="14">
        <f>'Q.3.i'!L6</f>
        <v>146.68536</v>
      </c>
      <c r="F6" s="14">
        <f>'Q.3.i'!Q6</f>
        <v>6.1702800000000009</v>
      </c>
      <c r="G6" s="78">
        <f t="shared" ref="G6:G14" si="1">E6+F6</f>
        <v>152.85563999999999</v>
      </c>
      <c r="H6" s="79">
        <f t="shared" si="0"/>
        <v>32212229.07</v>
      </c>
      <c r="I6" s="14">
        <f>'Q.3.ii'!I6</f>
        <v>19940000</v>
      </c>
      <c r="J6" s="14">
        <f>(H6-I6)*'Q.3.Input'!$C$13</f>
        <v>736333.74419999996</v>
      </c>
      <c r="K6" s="78">
        <f>'Q.3.ii'!J6</f>
        <v>15285564</v>
      </c>
      <c r="L6" s="92">
        <f t="shared" ref="L6:L14" si="2">H6-I6+J6-K6</f>
        <v>-2277001.1857999992</v>
      </c>
      <c r="M6" s="43">
        <f>(1+'Q.3.Input'!$C$14)^-(B6-1)</f>
        <v>0.89285714285714279</v>
      </c>
      <c r="N6" s="43">
        <f t="shared" ref="N6:N14" si="3">H6*M6</f>
        <v>28760918.8125</v>
      </c>
      <c r="O6" s="22">
        <f t="shared" ref="O6:O14" si="4">L6*M7</f>
        <v>-1815211.4044961727</v>
      </c>
      <c r="Q6" s="90" t="s">
        <v>123</v>
      </c>
      <c r="R6" s="89">
        <f>SUM(N5:N14)</f>
        <v>203611757.01186877</v>
      </c>
    </row>
    <row r="7" spans="1:19" x14ac:dyDescent="0.35">
      <c r="B7" s="45">
        <f t="shared" ref="B7:B15" si="5">B6+1</f>
        <v>3</v>
      </c>
      <c r="C7" s="79">
        <f>'Q.3.i'!I7</f>
        <v>97643.554640000002</v>
      </c>
      <c r="D7" s="14">
        <f>'Q.3.i'!N7</f>
        <v>2050.5897200000004</v>
      </c>
      <c r="E7" s="14">
        <f>'Q.3.i'!L7</f>
        <v>146.45811567179999</v>
      </c>
      <c r="F7" s="14">
        <f>'Q.3.i'!Q7</f>
        <v>6.1662017364000015</v>
      </c>
      <c r="G7" s="78">
        <f t="shared" si="1"/>
        <v>152.6243174082</v>
      </c>
      <c r="H7" s="79">
        <f t="shared" si="0"/>
        <v>32143281.751941599</v>
      </c>
      <c r="I7" s="14">
        <f>'Q.3.ii'!I7</f>
        <v>20505897.200000003</v>
      </c>
      <c r="J7" s="14">
        <f>(H7-I7)*'Q.3.Input'!$C$13</f>
        <v>698243.07311649574</v>
      </c>
      <c r="K7" s="78">
        <f>'Q.3.ii'!J7</f>
        <v>15262431.74082</v>
      </c>
      <c r="L7" s="92">
        <f t="shared" si="2"/>
        <v>-2926804.1157619078</v>
      </c>
      <c r="M7" s="43">
        <f>(1+'Q.3.Input'!$C$14)^-(B7-1)</f>
        <v>0.79719387755102034</v>
      </c>
      <c r="N7" s="43">
        <f t="shared" si="3"/>
        <v>25624427.417045277</v>
      </c>
      <c r="O7" s="22">
        <f t="shared" si="4"/>
        <v>-2083241.3588183215</v>
      </c>
      <c r="Q7" s="69" t="s">
        <v>127</v>
      </c>
      <c r="R7" s="91">
        <f>R5/R6</f>
        <v>2.0016872604704122E-2</v>
      </c>
      <c r="S7" s="72" t="s">
        <v>128</v>
      </c>
    </row>
    <row r="8" spans="1:19" x14ac:dyDescent="0.35">
      <c r="B8" s="45">
        <f t="shared" si="5"/>
        <v>4</v>
      </c>
      <c r="C8" s="79">
        <f>'Q.3.i'!I8</f>
        <v>97492.285665528194</v>
      </c>
      <c r="D8" s="14">
        <f>'Q.3.i'!N8</f>
        <v>2049.2343770636003</v>
      </c>
      <c r="E8" s="14">
        <f>'Q.3.i'!L8</f>
        <v>146.23381891564208</v>
      </c>
      <c r="F8" s="14">
        <f>'Q.3.i'!Q8</f>
        <v>6.1569222964912322</v>
      </c>
      <c r="G8" s="78">
        <f t="shared" si="1"/>
        <v>152.39074121213332</v>
      </c>
      <c r="H8" s="79">
        <f t="shared" si="0"/>
        <v>32093485.518235225</v>
      </c>
      <c r="I8" s="14">
        <f>'Q.3.ii'!I8</f>
        <v>20492343.770636003</v>
      </c>
      <c r="J8" s="14">
        <f>(H8-I8)*'Q.3.Input'!$C$13</f>
        <v>696068.50485595327</v>
      </c>
      <c r="K8" s="78">
        <f>'Q.3.ii'!J8</f>
        <v>15239074.121213332</v>
      </c>
      <c r="L8" s="92">
        <f t="shared" si="2"/>
        <v>-2941863.8687581569</v>
      </c>
      <c r="M8" s="43">
        <f>(1+'Q.3.Input'!$C$14)^-(B8-1)</f>
        <v>0.71178024781341087</v>
      </c>
      <c r="N8" s="43">
        <f t="shared" si="3"/>
        <v>22843509.075365581</v>
      </c>
      <c r="O8" s="22">
        <f t="shared" si="4"/>
        <v>-1869607.6728017863</v>
      </c>
      <c r="R8" s="96"/>
    </row>
    <row r="9" spans="1:19" x14ac:dyDescent="0.35">
      <c r="B9" s="45">
        <f t="shared" si="5"/>
        <v>5</v>
      </c>
      <c r="C9" s="79">
        <f>'Q.3.i'!I9</f>
        <v>97342.978791512403</v>
      </c>
      <c r="D9" s="14">
        <f>'Q.3.i'!N9</f>
        <v>2046.1505098672528</v>
      </c>
      <c r="E9" s="14">
        <f>'Q.3.i'!L9</f>
        <v>146.00994330008405</v>
      </c>
      <c r="F9" s="14">
        <f>'Q.3.i'!Q9</f>
        <v>6.1475013039708326</v>
      </c>
      <c r="G9" s="78">
        <f t="shared" si="1"/>
        <v>152.15744460405489</v>
      </c>
      <c r="H9" s="79">
        <f t="shared" si="0"/>
        <v>32044335.188377969</v>
      </c>
      <c r="I9" s="14">
        <f>'Q.3.ii'!I9</f>
        <v>20461505.098672528</v>
      </c>
      <c r="J9" s="14">
        <f>(H9-I9)*'Q.3.Input'!$C$13</f>
        <v>694969.80538232648</v>
      </c>
      <c r="K9" s="78">
        <f>'Q.3.ii'!J9</f>
        <v>15215744.460405489</v>
      </c>
      <c r="L9" s="92">
        <f t="shared" si="2"/>
        <v>-2937944.565317722</v>
      </c>
      <c r="M9" s="43">
        <f>(1+'Q.3.Input'!$C$14)^-(B9-1)</f>
        <v>0.63551807840483121</v>
      </c>
      <c r="N9" s="43">
        <f t="shared" si="3"/>
        <v>20364754.322678283</v>
      </c>
      <c r="O9" s="22">
        <f t="shared" si="4"/>
        <v>-1667068.6469737818</v>
      </c>
    </row>
    <row r="10" spans="1:19" x14ac:dyDescent="0.35">
      <c r="B10" s="45">
        <f t="shared" si="5"/>
        <v>6</v>
      </c>
      <c r="C10" s="79">
        <f>'Q.3.i'!I10</f>
        <v>97193.952256755947</v>
      </c>
      <c r="D10" s="14">
        <f>'Q.3.i'!N10</f>
        <v>2043.0196000196402</v>
      </c>
      <c r="E10" s="14">
        <f>'Q.3.i'!L10</f>
        <v>145.78641274745922</v>
      </c>
      <c r="F10" s="14">
        <f>'Q.3.i'!Q10</f>
        <v>6.1380900754083036</v>
      </c>
      <c r="G10" s="78">
        <f t="shared" si="1"/>
        <v>151.92450282286754</v>
      </c>
      <c r="H10" s="79">
        <f t="shared" si="0"/>
        <v>31995277.143401489</v>
      </c>
      <c r="I10" s="14">
        <f>'Q.3.ii'!I10</f>
        <v>20430196.000196401</v>
      </c>
      <c r="J10" s="14">
        <f>(H10-I10)*'Q.3.Input'!$C$13</f>
        <v>693904.86859230523</v>
      </c>
      <c r="K10" s="78">
        <f>'Q.3.ii'!J10</f>
        <v>15192450.282286754</v>
      </c>
      <c r="L10" s="92">
        <f t="shared" si="2"/>
        <v>-2933464.2704893611</v>
      </c>
      <c r="M10" s="43">
        <f>(1+'Q.3.Input'!$C$14)^-(B10-1)</f>
        <v>0.56742685571859919</v>
      </c>
      <c r="N10" s="43">
        <f t="shared" si="3"/>
        <v>18154979.50732547</v>
      </c>
      <c r="O10" s="22">
        <f t="shared" si="4"/>
        <v>-1486184.2922916361</v>
      </c>
    </row>
    <row r="11" spans="1:19" x14ac:dyDescent="0.35">
      <c r="B11" s="45">
        <f t="shared" si="5"/>
        <v>7</v>
      </c>
      <c r="C11" s="79">
        <f>'Q.3.i'!I11</f>
        <v>97045.155418892027</v>
      </c>
      <c r="D11" s="14">
        <f>'Q.3.i'!N11</f>
        <v>2039.8919350606927</v>
      </c>
      <c r="E11" s="14">
        <f>'Q.3.i'!L11</f>
        <v>145.56322447323276</v>
      </c>
      <c r="F11" s="14">
        <f>'Q.3.i'!Q11</f>
        <v>6.1286931153926263</v>
      </c>
      <c r="G11" s="78">
        <f t="shared" si="1"/>
        <v>151.69191758862539</v>
      </c>
      <c r="H11" s="79">
        <f t="shared" si="0"/>
        <v>31946294.712345067</v>
      </c>
      <c r="I11" s="14">
        <f>'Q.3.ii'!I11</f>
        <v>20398919.350606926</v>
      </c>
      <c r="J11" s="14">
        <f>(H11-I11)*'Q.3.Input'!$C$13</f>
        <v>692842.52170428843</v>
      </c>
      <c r="K11" s="78">
        <f>'Q.3.ii'!J11</f>
        <v>15169191.758862538</v>
      </c>
      <c r="L11" s="92">
        <f t="shared" si="2"/>
        <v>-2928973.8754201084</v>
      </c>
      <c r="M11" s="43">
        <f>(1+'Q.3.Input'!$C$14)^-(B11-1)</f>
        <v>0.50663112117732068</v>
      </c>
      <c r="N11" s="43">
        <f t="shared" si="3"/>
        <v>16184987.107576493</v>
      </c>
      <c r="O11" s="22">
        <f t="shared" si="4"/>
        <v>-1324919.0342885458</v>
      </c>
    </row>
    <row r="12" spans="1:19" x14ac:dyDescent="0.35">
      <c r="B12" s="45">
        <f t="shared" si="5"/>
        <v>8</v>
      </c>
      <c r="C12" s="79">
        <f>'Q.3.i'!I12</f>
        <v>96896.586424348614</v>
      </c>
      <c r="D12" s="14">
        <f>'Q.3.i'!N12</f>
        <v>2036.7690120154828</v>
      </c>
      <c r="E12" s="14">
        <f>'Q.3.i'!L12</f>
        <v>145.34037788591451</v>
      </c>
      <c r="F12" s="14">
        <f>'Q.3.i'!Q12</f>
        <v>6.1193105372632397</v>
      </c>
      <c r="G12" s="78">
        <f t="shared" si="1"/>
        <v>151.45968842317774</v>
      </c>
      <c r="H12" s="79">
        <f t="shared" si="0"/>
        <v>31897387.285031319</v>
      </c>
      <c r="I12" s="14">
        <f>'Q.3.ii'!I12</f>
        <v>20367690.120154828</v>
      </c>
      <c r="J12" s="14">
        <f>(H12-I12)*'Q.3.Input'!$C$13</f>
        <v>691781.82989258948</v>
      </c>
      <c r="K12" s="78">
        <f>'Q.3.ii'!J12</f>
        <v>15145968.842317773</v>
      </c>
      <c r="L12" s="92">
        <f t="shared" si="2"/>
        <v>-2924489.8475486934</v>
      </c>
      <c r="M12" s="43">
        <f>(1+'Q.3.Input'!$C$14)^-(B12-1)</f>
        <v>0.45234921533689343</v>
      </c>
      <c r="N12" s="43">
        <f t="shared" si="3"/>
        <v>14428758.109680919</v>
      </c>
      <c r="O12" s="22">
        <f t="shared" si="4"/>
        <v>-1181152.3998208593</v>
      </c>
    </row>
    <row r="13" spans="1:19" x14ac:dyDescent="0.35">
      <c r="B13" s="45">
        <f t="shared" si="5"/>
        <v>9</v>
      </c>
      <c r="C13" s="79">
        <f>'Q.3.i'!I13</f>
        <v>96748.244879390419</v>
      </c>
      <c r="D13" s="14">
        <f>'Q.3.i'!N13</f>
        <v>2033.6508685504832</v>
      </c>
      <c r="E13" s="14">
        <f>'Q.3.i'!L13</f>
        <v>145.11787246038836</v>
      </c>
      <c r="F13" s="14">
        <f>'Q.3.i'!Q13</f>
        <v>6.1099423230459982</v>
      </c>
      <c r="G13" s="78">
        <f t="shared" si="1"/>
        <v>151.22781478343435</v>
      </c>
      <c r="H13" s="79">
        <f t="shared" si="0"/>
        <v>31848554.73184653</v>
      </c>
      <c r="I13" s="14">
        <f>'Q.3.ii'!I13</f>
        <v>20336508.685504831</v>
      </c>
      <c r="J13" s="14">
        <f>(H13-I13)*'Q.3.Input'!$C$13</f>
        <v>690722.76278050186</v>
      </c>
      <c r="K13" s="78">
        <f>'Q.3.ii'!J13</f>
        <v>15122781.478343435</v>
      </c>
      <c r="L13" s="92">
        <f t="shared" si="2"/>
        <v>-2920012.6692212336</v>
      </c>
      <c r="M13" s="43">
        <f>(1+'Q.3.Input'!$C$14)^-(B13-1)</f>
        <v>0.4038832279793691</v>
      </c>
      <c r="N13" s="43">
        <f t="shared" si="3"/>
        <v>12863097.091575786</v>
      </c>
      <c r="O13" s="22">
        <f t="shared" si="4"/>
        <v>-1052985.8415943978</v>
      </c>
    </row>
    <row r="14" spans="1:19" ht="15" thickBot="1" x14ac:dyDescent="0.4">
      <c r="B14" s="46">
        <f t="shared" si="5"/>
        <v>10</v>
      </c>
      <c r="C14" s="80">
        <f>'Q.3.i'!I14</f>
        <v>96600.130434465187</v>
      </c>
      <c r="D14" s="25">
        <f>'Q.3.i'!N14</f>
        <v>2030.5374986922866</v>
      </c>
      <c r="E14" s="25">
        <f>'Q.3.i'!L14</f>
        <v>144.89570767430033</v>
      </c>
      <c r="F14" s="25">
        <f>'Q.3.i'!Q14</f>
        <v>6.1005884508717543</v>
      </c>
      <c r="G14" s="81">
        <f t="shared" si="1"/>
        <v>150.99629612517208</v>
      </c>
      <c r="H14" s="80">
        <f t="shared" si="0"/>
        <v>31799796.937721595</v>
      </c>
      <c r="I14" s="25">
        <f>'Q.3.ii'!I14</f>
        <v>20305374.986922868</v>
      </c>
      <c r="J14" s="25">
        <f>(H14-I14)*'Q.3.Input'!$C$13</f>
        <v>689665.31704792369</v>
      </c>
      <c r="K14" s="81">
        <f>'Q.3.ii'!J14</f>
        <v>15099629.612517208</v>
      </c>
      <c r="L14" s="93">
        <f t="shared" si="2"/>
        <v>-2915542.3446705565</v>
      </c>
      <c r="M14" s="94">
        <f>(1+'Q.3.Input'!$C$14)^-(B14-1)</f>
        <v>0.36061002498157957</v>
      </c>
      <c r="N14" s="94">
        <f t="shared" si="3"/>
        <v>11467325.568120942</v>
      </c>
      <c r="O14" s="26">
        <f t="shared" si="4"/>
        <v>-938726.60513080563</v>
      </c>
    </row>
    <row r="15" spans="1:19" x14ac:dyDescent="0.35">
      <c r="B15" s="87">
        <f t="shared" si="5"/>
        <v>11</v>
      </c>
      <c r="M15" s="88">
        <f>(1+'Q.3.Input'!$C$14)^-(B15-1)</f>
        <v>0.32197323659069599</v>
      </c>
      <c r="N15" s="86"/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0A6E-D18A-432E-B90F-179C895FBD27}">
  <dimension ref="B4:N11"/>
  <sheetViews>
    <sheetView showGridLines="0" zoomScaleNormal="100" workbookViewId="0"/>
  </sheetViews>
  <sheetFormatPr defaultRowHeight="14.5" x14ac:dyDescent="0.35"/>
  <cols>
    <col min="11" max="11" width="22.1796875" customWidth="1"/>
  </cols>
  <sheetData>
    <row r="4" spans="2:14" x14ac:dyDescent="0.35">
      <c r="B4" t="s">
        <v>84</v>
      </c>
      <c r="C4" t="s">
        <v>130</v>
      </c>
      <c r="K4" s="96"/>
      <c r="M4" s="96"/>
      <c r="N4" s="97"/>
    </row>
    <row r="5" spans="2:14" x14ac:dyDescent="0.35">
      <c r="C5" t="s">
        <v>131</v>
      </c>
      <c r="M5" s="96"/>
      <c r="N5" s="97"/>
    </row>
    <row r="6" spans="2:14" x14ac:dyDescent="0.35">
      <c r="M6" s="96"/>
      <c r="N6" s="97"/>
    </row>
    <row r="7" spans="2:14" x14ac:dyDescent="0.35">
      <c r="B7" t="s">
        <v>87</v>
      </c>
      <c r="C7" t="s">
        <v>132</v>
      </c>
      <c r="K7" s="100"/>
      <c r="M7" s="96"/>
      <c r="N7" s="97"/>
    </row>
    <row r="8" spans="2:14" x14ac:dyDescent="0.35">
      <c r="C8" t="s">
        <v>133</v>
      </c>
      <c r="M8" s="96"/>
      <c r="N8" s="97"/>
    </row>
    <row r="9" spans="2:14" x14ac:dyDescent="0.35">
      <c r="M9" s="96"/>
      <c r="N9" s="97"/>
    </row>
    <row r="10" spans="2:14" x14ac:dyDescent="0.35">
      <c r="B10" t="s">
        <v>90</v>
      </c>
      <c r="C10" t="s">
        <v>134</v>
      </c>
      <c r="K10" s="100"/>
      <c r="M10" s="96"/>
      <c r="N10" s="97"/>
    </row>
    <row r="11" spans="2:14" x14ac:dyDescent="0.35">
      <c r="C11" t="s">
        <v>135</v>
      </c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9072-9F91-4A07-92B0-7AFD4886DBC5}">
  <dimension ref="B3:M5"/>
  <sheetViews>
    <sheetView showGridLines="0" zoomScaleNormal="100" workbookViewId="0"/>
  </sheetViews>
  <sheetFormatPr defaultRowHeight="14.5" x14ac:dyDescent="0.35"/>
  <cols>
    <col min="13" max="13" width="45.90625" customWidth="1"/>
  </cols>
  <sheetData>
    <row r="3" spans="2:13" x14ac:dyDescent="0.35">
      <c r="B3" t="s">
        <v>137</v>
      </c>
      <c r="L3" s="96"/>
    </row>
    <row r="4" spans="2:13" x14ac:dyDescent="0.35">
      <c r="B4" t="s">
        <v>136</v>
      </c>
      <c r="L4" s="96"/>
    </row>
    <row r="5" spans="2:13" ht="21" customHeight="1" x14ac:dyDescent="0.35">
      <c r="B5" t="s">
        <v>138</v>
      </c>
      <c r="L5" s="96"/>
      <c r="M5" s="100"/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28E4-B161-4EDA-BDF7-8498DE585A99}">
  <dimension ref="A1:Q22"/>
  <sheetViews>
    <sheetView showGridLines="0" zoomScaleNormal="100" workbookViewId="0"/>
  </sheetViews>
  <sheetFormatPr defaultRowHeight="14.5" x14ac:dyDescent="0.35"/>
  <cols>
    <col min="1" max="1" width="11.1796875" bestFit="1" customWidth="1"/>
    <col min="2" max="2" width="12.1796875" bestFit="1" customWidth="1"/>
    <col min="5" max="5" width="11.1796875" bestFit="1" customWidth="1"/>
    <col min="6" max="6" width="9.6328125" customWidth="1"/>
    <col min="7" max="7" width="16.1796875" bestFit="1" customWidth="1"/>
    <col min="8" max="8" width="8.81640625" bestFit="1" customWidth="1"/>
    <col min="9" max="9" width="9.6328125" bestFit="1" customWidth="1"/>
    <col min="10" max="10" width="11.1796875" bestFit="1" customWidth="1"/>
    <col min="11" max="11" width="8.81640625" bestFit="1" customWidth="1"/>
    <col min="12" max="12" width="11.1796875" bestFit="1" customWidth="1"/>
    <col min="13" max="13" width="9.6328125" bestFit="1" customWidth="1"/>
    <col min="14" max="14" width="11.1796875" bestFit="1" customWidth="1"/>
    <col min="15" max="15" width="8.81640625" bestFit="1" customWidth="1"/>
    <col min="16" max="16" width="11.1796875" bestFit="1" customWidth="1"/>
    <col min="17" max="17" width="9.81640625" bestFit="1" customWidth="1"/>
  </cols>
  <sheetData>
    <row r="1" spans="1:17" x14ac:dyDescent="0.35">
      <c r="A1" s="5" t="s">
        <v>13</v>
      </c>
      <c r="B1" s="7">
        <v>100000</v>
      </c>
      <c r="H1" s="96"/>
    </row>
    <row r="2" spans="1:17" x14ac:dyDescent="0.35">
      <c r="A2" s="5" t="s">
        <v>14</v>
      </c>
      <c r="B2" s="7">
        <v>1500000</v>
      </c>
    </row>
    <row r="3" spans="1:17" x14ac:dyDescent="0.35">
      <c r="A3" s="5" t="s">
        <v>15</v>
      </c>
      <c r="B3" s="5">
        <v>40</v>
      </c>
    </row>
    <row r="4" spans="1:17" s="96" customFormat="1" x14ac:dyDescent="0.35">
      <c r="D4" s="100"/>
    </row>
    <row r="5" spans="1:17" x14ac:dyDescent="0.35"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17" ht="72.5" x14ac:dyDescent="0.35">
      <c r="C6" s="10" t="s">
        <v>3</v>
      </c>
      <c r="D6" s="2" t="s">
        <v>1</v>
      </c>
      <c r="E6" s="10" t="s">
        <v>13</v>
      </c>
      <c r="F6" s="10" t="s">
        <v>4</v>
      </c>
      <c r="G6" s="10" t="s">
        <v>16</v>
      </c>
      <c r="H6" s="10" t="s">
        <v>7</v>
      </c>
      <c r="I6" s="10" t="s">
        <v>17</v>
      </c>
      <c r="J6" s="10" t="s">
        <v>19</v>
      </c>
      <c r="K6" s="10" t="s">
        <v>18</v>
      </c>
      <c r="L6" s="10" t="s">
        <v>20</v>
      </c>
      <c r="M6" s="10" t="s">
        <v>21</v>
      </c>
      <c r="N6" s="10" t="s">
        <v>22</v>
      </c>
      <c r="O6" s="10" t="s">
        <v>23</v>
      </c>
      <c r="P6" s="10" t="s">
        <v>24</v>
      </c>
    </row>
    <row r="7" spans="1:17" x14ac:dyDescent="0.35">
      <c r="C7" s="10"/>
      <c r="D7" s="2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7" x14ac:dyDescent="0.35">
      <c r="C8" s="5">
        <v>1</v>
      </c>
      <c r="D8" s="11">
        <f>$B$3</f>
        <v>40</v>
      </c>
      <c r="E8" s="7">
        <f>$B$1</f>
        <v>100000</v>
      </c>
      <c r="F8" s="7">
        <f>VLOOKUP(C8,'Q.1.input'!$F$4:$G$19,2,FALSE)*E8</f>
        <v>5000</v>
      </c>
      <c r="G8" s="7">
        <f>E8-F8</f>
        <v>95000</v>
      </c>
      <c r="H8" s="7">
        <f>G8*0.5%</f>
        <v>475</v>
      </c>
      <c r="I8" s="7">
        <f>G8-H8</f>
        <v>94525</v>
      </c>
      <c r="J8" s="7">
        <f>P7+I8</f>
        <v>94525</v>
      </c>
      <c r="K8" s="7">
        <f>'Q.1.input'!$G$23</f>
        <v>1000</v>
      </c>
      <c r="L8" s="7">
        <f>J8-K8</f>
        <v>93525</v>
      </c>
      <c r="M8" s="7">
        <f>L8*'Q.1.input'!$N$4</f>
        <v>9352.5</v>
      </c>
      <c r="N8" s="7">
        <f>L8+M8</f>
        <v>102877.5</v>
      </c>
      <c r="O8" s="7">
        <f>N8*'Q.1.input'!$G$24</f>
        <v>514.38750000000005</v>
      </c>
      <c r="P8" s="7">
        <f>N8-O8</f>
        <v>102363.1125</v>
      </c>
      <c r="Q8" s="103"/>
    </row>
    <row r="9" spans="1:17" x14ac:dyDescent="0.35">
      <c r="C9" s="5">
        <f>C8+1</f>
        <v>2</v>
      </c>
      <c r="D9" s="5">
        <f>D8+1</f>
        <v>41</v>
      </c>
      <c r="E9" s="7">
        <f t="shared" ref="E9:E22" si="0">$B$1</f>
        <v>100000</v>
      </c>
      <c r="F9" s="7">
        <f>VLOOKUP(C9,'Q.1.input'!$F$4:$G$19,2,FALSE)*E9</f>
        <v>2000</v>
      </c>
      <c r="G9" s="7">
        <f t="shared" ref="G9:G22" si="1">E9-F9</f>
        <v>98000</v>
      </c>
      <c r="H9" s="7">
        <f t="shared" ref="H9:H22" si="2">G9*0.5%</f>
        <v>490</v>
      </c>
      <c r="I9" s="7">
        <f t="shared" ref="I9:I22" si="3">G9-H9</f>
        <v>97510</v>
      </c>
      <c r="J9" s="7">
        <f t="shared" ref="J9:J22" si="4">P8+I9</f>
        <v>199873.11249999999</v>
      </c>
      <c r="K9" s="7">
        <f>'Q.1.input'!$G$23</f>
        <v>1000</v>
      </c>
      <c r="L9" s="7">
        <f t="shared" ref="L9:L22" si="5">J9-K9</f>
        <v>198873.11249999999</v>
      </c>
      <c r="M9" s="7">
        <f>L9*'Q.1.input'!$N$4</f>
        <v>19887.311249999999</v>
      </c>
      <c r="N9" s="7">
        <f t="shared" ref="N9:N22" si="6">L9+M9</f>
        <v>218760.42374999999</v>
      </c>
      <c r="O9" s="7">
        <f>N9*'Q.1.input'!$G$24</f>
        <v>1093.8021187499999</v>
      </c>
      <c r="P9" s="7">
        <f t="shared" ref="P9:P22" si="7">N9-O9</f>
        <v>217666.62163124999</v>
      </c>
      <c r="Q9" s="103"/>
    </row>
    <row r="10" spans="1:17" x14ac:dyDescent="0.35">
      <c r="C10" s="5">
        <f t="shared" ref="C10:C22" si="8">C9+1</f>
        <v>3</v>
      </c>
      <c r="D10" s="5">
        <f t="shared" ref="D10:D22" si="9">D9+1</f>
        <v>42</v>
      </c>
      <c r="E10" s="7">
        <f t="shared" si="0"/>
        <v>100000</v>
      </c>
      <c r="F10" s="7">
        <f>VLOOKUP(C10,'Q.1.input'!$F$4:$G$19,2,FALSE)*E10</f>
        <v>2000</v>
      </c>
      <c r="G10" s="7">
        <f t="shared" si="1"/>
        <v>98000</v>
      </c>
      <c r="H10" s="7">
        <f t="shared" si="2"/>
        <v>490</v>
      </c>
      <c r="I10" s="7">
        <f t="shared" si="3"/>
        <v>97510</v>
      </c>
      <c r="J10" s="7">
        <f t="shared" si="4"/>
        <v>315176.62163125002</v>
      </c>
      <c r="K10" s="7">
        <f>'Q.1.input'!$G$23</f>
        <v>1000</v>
      </c>
      <c r="L10" s="7">
        <f t="shared" si="5"/>
        <v>314176.62163125002</v>
      </c>
      <c r="M10" s="7">
        <f>L10*'Q.1.input'!$N$4</f>
        <v>31417.662163125002</v>
      </c>
      <c r="N10" s="7">
        <f t="shared" si="6"/>
        <v>345594.28379437502</v>
      </c>
      <c r="O10" s="7">
        <f>N10*'Q.1.input'!$G$24</f>
        <v>1727.9714189718752</v>
      </c>
      <c r="P10" s="7">
        <f t="shared" si="7"/>
        <v>343866.31237540313</v>
      </c>
      <c r="Q10" s="103"/>
    </row>
    <row r="11" spans="1:17" x14ac:dyDescent="0.35">
      <c r="C11" s="5">
        <f t="shared" si="8"/>
        <v>4</v>
      </c>
      <c r="D11" s="5">
        <f t="shared" si="9"/>
        <v>43</v>
      </c>
      <c r="E11" s="7">
        <f t="shared" si="0"/>
        <v>100000</v>
      </c>
      <c r="F11" s="7">
        <f>VLOOKUP(C11,'Q.1.input'!$F$4:$G$19,2,FALSE)*E11</f>
        <v>2000</v>
      </c>
      <c r="G11" s="7">
        <f t="shared" si="1"/>
        <v>98000</v>
      </c>
      <c r="H11" s="7">
        <f t="shared" si="2"/>
        <v>490</v>
      </c>
      <c r="I11" s="7">
        <f t="shared" si="3"/>
        <v>97510</v>
      </c>
      <c r="J11" s="7">
        <f t="shared" si="4"/>
        <v>441376.31237540313</v>
      </c>
      <c r="K11" s="7">
        <f>'Q.1.input'!$G$23</f>
        <v>1000</v>
      </c>
      <c r="L11" s="7">
        <f t="shared" si="5"/>
        <v>440376.31237540313</v>
      </c>
      <c r="M11" s="7">
        <f>L11*'Q.1.input'!$N$4</f>
        <v>44037.631237540314</v>
      </c>
      <c r="N11" s="7">
        <f t="shared" si="6"/>
        <v>484413.94361294346</v>
      </c>
      <c r="O11" s="7">
        <f>N11*'Q.1.input'!$G$24</f>
        <v>2422.0697180647176</v>
      </c>
      <c r="P11" s="7">
        <f t="shared" si="7"/>
        <v>481991.87389487872</v>
      </c>
      <c r="Q11" s="103"/>
    </row>
    <row r="12" spans="1:17" x14ac:dyDescent="0.35">
      <c r="C12" s="5">
        <f t="shared" si="8"/>
        <v>5</v>
      </c>
      <c r="D12" s="5">
        <f t="shared" si="9"/>
        <v>44</v>
      </c>
      <c r="E12" s="7">
        <f t="shared" si="0"/>
        <v>100000</v>
      </c>
      <c r="F12" s="7">
        <f>VLOOKUP(C12,'Q.1.input'!$F$4:$G$19,2,FALSE)*E12</f>
        <v>2000</v>
      </c>
      <c r="G12" s="7">
        <f t="shared" si="1"/>
        <v>98000</v>
      </c>
      <c r="H12" s="7">
        <f t="shared" si="2"/>
        <v>490</v>
      </c>
      <c r="I12" s="7">
        <f t="shared" si="3"/>
        <v>97510</v>
      </c>
      <c r="J12" s="7">
        <f t="shared" si="4"/>
        <v>579501.87389487866</v>
      </c>
      <c r="K12" s="7">
        <f>'Q.1.input'!$G$23</f>
        <v>1000</v>
      </c>
      <c r="L12" s="7">
        <f t="shared" si="5"/>
        <v>578501.87389487866</v>
      </c>
      <c r="M12" s="7">
        <f>L12*'Q.1.input'!$N$4</f>
        <v>57850.187389487866</v>
      </c>
      <c r="N12" s="7">
        <f t="shared" si="6"/>
        <v>636352.06128436653</v>
      </c>
      <c r="O12" s="7">
        <f>N12*'Q.1.input'!$G$24</f>
        <v>3181.7603064218329</v>
      </c>
      <c r="P12" s="7">
        <f t="shared" si="7"/>
        <v>633170.30097794475</v>
      </c>
      <c r="Q12" s="103"/>
    </row>
    <row r="13" spans="1:17" x14ac:dyDescent="0.35">
      <c r="C13" s="5">
        <f t="shared" si="8"/>
        <v>6</v>
      </c>
      <c r="D13" s="5">
        <f t="shared" si="9"/>
        <v>45</v>
      </c>
      <c r="E13" s="7">
        <f t="shared" si="0"/>
        <v>100000</v>
      </c>
      <c r="F13" s="7">
        <f>VLOOKUP(C13,'Q.1.input'!$F$4:$G$19,2,FALSE)*E13</f>
        <v>1000</v>
      </c>
      <c r="G13" s="7">
        <f t="shared" si="1"/>
        <v>99000</v>
      </c>
      <c r="H13" s="7">
        <f t="shared" si="2"/>
        <v>495</v>
      </c>
      <c r="I13" s="7">
        <f t="shared" si="3"/>
        <v>98505</v>
      </c>
      <c r="J13" s="7">
        <f t="shared" si="4"/>
        <v>731675.30097794475</v>
      </c>
      <c r="K13" s="7">
        <f>'Q.1.input'!$G$23</f>
        <v>1000</v>
      </c>
      <c r="L13" s="7">
        <f t="shared" si="5"/>
        <v>730675.30097794475</v>
      </c>
      <c r="M13" s="7">
        <f>L13*'Q.1.input'!$N$4</f>
        <v>73067.530097794472</v>
      </c>
      <c r="N13" s="7">
        <f t="shared" si="6"/>
        <v>803742.83107573923</v>
      </c>
      <c r="O13" s="7">
        <f>N13*'Q.1.input'!$G$24</f>
        <v>4018.7141553786964</v>
      </c>
      <c r="P13" s="7">
        <f t="shared" si="7"/>
        <v>799724.11692036048</v>
      </c>
      <c r="Q13" s="103"/>
    </row>
    <row r="14" spans="1:17" x14ac:dyDescent="0.35">
      <c r="C14" s="5">
        <f t="shared" si="8"/>
        <v>7</v>
      </c>
      <c r="D14" s="5">
        <f t="shared" si="9"/>
        <v>46</v>
      </c>
      <c r="E14" s="7">
        <f t="shared" si="0"/>
        <v>100000</v>
      </c>
      <c r="F14" s="7">
        <f>VLOOKUP(C14,'Q.1.input'!$F$4:$G$19,2,FALSE)*E14</f>
        <v>1000</v>
      </c>
      <c r="G14" s="7">
        <f t="shared" si="1"/>
        <v>99000</v>
      </c>
      <c r="H14" s="7">
        <f t="shared" si="2"/>
        <v>495</v>
      </c>
      <c r="I14" s="7">
        <f t="shared" si="3"/>
        <v>98505</v>
      </c>
      <c r="J14" s="7">
        <f t="shared" si="4"/>
        <v>898229.11692036048</v>
      </c>
      <c r="K14" s="7">
        <f>'Q.1.input'!$G$23</f>
        <v>1000</v>
      </c>
      <c r="L14" s="7">
        <f t="shared" si="5"/>
        <v>897229.11692036048</v>
      </c>
      <c r="M14" s="7">
        <f>L14*'Q.1.input'!$N$4</f>
        <v>89722.911692036054</v>
      </c>
      <c r="N14" s="7">
        <f t="shared" si="6"/>
        <v>986952.02861239656</v>
      </c>
      <c r="O14" s="7">
        <f>N14*'Q.1.input'!$G$24</f>
        <v>4934.7601430619825</v>
      </c>
      <c r="P14" s="7">
        <f t="shared" si="7"/>
        <v>982017.26846933458</v>
      </c>
      <c r="Q14" s="103"/>
    </row>
    <row r="15" spans="1:17" x14ac:dyDescent="0.35">
      <c r="C15" s="5">
        <f t="shared" si="8"/>
        <v>8</v>
      </c>
      <c r="D15" s="5">
        <f t="shared" si="9"/>
        <v>47</v>
      </c>
      <c r="E15" s="7">
        <f t="shared" si="0"/>
        <v>100000</v>
      </c>
      <c r="F15" s="7">
        <f>VLOOKUP(C15,'Q.1.input'!$F$4:$G$19,2,FALSE)*E15</f>
        <v>1000</v>
      </c>
      <c r="G15" s="7">
        <f t="shared" si="1"/>
        <v>99000</v>
      </c>
      <c r="H15" s="7">
        <f t="shared" si="2"/>
        <v>495</v>
      </c>
      <c r="I15" s="7">
        <f t="shared" si="3"/>
        <v>98505</v>
      </c>
      <c r="J15" s="7">
        <f t="shared" si="4"/>
        <v>1080522.2684693346</v>
      </c>
      <c r="K15" s="7">
        <f>'Q.1.input'!$G$23</f>
        <v>1000</v>
      </c>
      <c r="L15" s="7">
        <f t="shared" si="5"/>
        <v>1079522.2684693346</v>
      </c>
      <c r="M15" s="7">
        <f>L15*'Q.1.input'!$N$4</f>
        <v>107952.22684693347</v>
      </c>
      <c r="N15" s="7">
        <f t="shared" si="6"/>
        <v>1187474.4953162679</v>
      </c>
      <c r="O15" s="7">
        <f>N15*'Q.1.input'!$G$24</f>
        <v>5937.3724765813395</v>
      </c>
      <c r="P15" s="7">
        <f t="shared" si="7"/>
        <v>1181537.1228396867</v>
      </c>
      <c r="Q15" s="103"/>
    </row>
    <row r="16" spans="1:17" x14ac:dyDescent="0.35">
      <c r="C16" s="5">
        <f t="shared" si="8"/>
        <v>9</v>
      </c>
      <c r="D16" s="5">
        <f t="shared" si="9"/>
        <v>48</v>
      </c>
      <c r="E16" s="7">
        <f t="shared" si="0"/>
        <v>100000</v>
      </c>
      <c r="F16" s="7">
        <f>VLOOKUP(C16,'Q.1.input'!$F$4:$G$19,2,FALSE)*E16</f>
        <v>1000</v>
      </c>
      <c r="G16" s="7">
        <f t="shared" si="1"/>
        <v>99000</v>
      </c>
      <c r="H16" s="7">
        <f t="shared" si="2"/>
        <v>495</v>
      </c>
      <c r="I16" s="7">
        <f t="shared" si="3"/>
        <v>98505</v>
      </c>
      <c r="J16" s="7">
        <f t="shared" si="4"/>
        <v>1280042.1228396867</v>
      </c>
      <c r="K16" s="7">
        <f>'Q.1.input'!$G$23</f>
        <v>1000</v>
      </c>
      <c r="L16" s="7">
        <f t="shared" si="5"/>
        <v>1279042.1228396867</v>
      </c>
      <c r="M16" s="7">
        <f>L16*'Q.1.input'!$N$4</f>
        <v>127904.21228396868</v>
      </c>
      <c r="N16" s="7">
        <f t="shared" si="6"/>
        <v>1406946.3351236554</v>
      </c>
      <c r="O16" s="7">
        <f>N16*'Q.1.input'!$G$24</f>
        <v>7034.7316756182772</v>
      </c>
      <c r="P16" s="7">
        <f t="shared" si="7"/>
        <v>1399911.6034480371</v>
      </c>
      <c r="Q16" s="103"/>
    </row>
    <row r="17" spans="3:17" x14ac:dyDescent="0.35">
      <c r="C17" s="5">
        <f t="shared" si="8"/>
        <v>10</v>
      </c>
      <c r="D17" s="5">
        <f t="shared" si="9"/>
        <v>49</v>
      </c>
      <c r="E17" s="7">
        <f t="shared" si="0"/>
        <v>100000</v>
      </c>
      <c r="F17" s="7">
        <f>VLOOKUP(C17,'Q.1.input'!$F$4:$G$19,2,FALSE)*E17</f>
        <v>1000</v>
      </c>
      <c r="G17" s="7">
        <f t="shared" si="1"/>
        <v>99000</v>
      </c>
      <c r="H17" s="7">
        <f t="shared" si="2"/>
        <v>495</v>
      </c>
      <c r="I17" s="7">
        <f t="shared" si="3"/>
        <v>98505</v>
      </c>
      <c r="J17" s="7">
        <f t="shared" si="4"/>
        <v>1498416.6034480371</v>
      </c>
      <c r="K17" s="7">
        <f>'Q.1.input'!$G$23</f>
        <v>1000</v>
      </c>
      <c r="L17" s="7">
        <f t="shared" si="5"/>
        <v>1497416.6034480371</v>
      </c>
      <c r="M17" s="7">
        <f>L17*'Q.1.input'!$N$4</f>
        <v>149741.66034480371</v>
      </c>
      <c r="N17" s="7">
        <f t="shared" si="6"/>
        <v>1647158.2637928408</v>
      </c>
      <c r="O17" s="7">
        <f>N17*'Q.1.input'!$G$24</f>
        <v>8235.791318964204</v>
      </c>
      <c r="P17" s="7">
        <f t="shared" si="7"/>
        <v>1638922.4724738766</v>
      </c>
      <c r="Q17" s="103"/>
    </row>
    <row r="18" spans="3:17" x14ac:dyDescent="0.35">
      <c r="C18" s="5">
        <f t="shared" si="8"/>
        <v>11</v>
      </c>
      <c r="D18" s="5">
        <f t="shared" si="9"/>
        <v>50</v>
      </c>
      <c r="E18" s="7">
        <f t="shared" si="0"/>
        <v>100000</v>
      </c>
      <c r="F18" s="7">
        <f>VLOOKUP(C18,'Q.1.input'!$F$4:$G$19,2,FALSE)*E18</f>
        <v>1000</v>
      </c>
      <c r="G18" s="7">
        <f t="shared" si="1"/>
        <v>99000</v>
      </c>
      <c r="H18" s="7">
        <f t="shared" si="2"/>
        <v>495</v>
      </c>
      <c r="I18" s="7">
        <f t="shared" si="3"/>
        <v>98505</v>
      </c>
      <c r="J18" s="7">
        <f t="shared" si="4"/>
        <v>1737427.4724738766</v>
      </c>
      <c r="K18" s="7">
        <f>'Q.1.input'!$G$23</f>
        <v>1000</v>
      </c>
      <c r="L18" s="7">
        <f t="shared" si="5"/>
        <v>1736427.4724738766</v>
      </c>
      <c r="M18" s="7">
        <f>L18*'Q.1.input'!$N$4</f>
        <v>173642.74724738766</v>
      </c>
      <c r="N18" s="7">
        <f t="shared" si="6"/>
        <v>1910070.2197212642</v>
      </c>
      <c r="O18" s="7">
        <f>N18*'Q.1.input'!$G$24</f>
        <v>9550.3510986063211</v>
      </c>
      <c r="P18" s="7">
        <f t="shared" si="7"/>
        <v>1900519.8686226578</v>
      </c>
      <c r="Q18" s="103"/>
    </row>
    <row r="19" spans="3:17" x14ac:dyDescent="0.35">
      <c r="C19" s="5">
        <f t="shared" si="8"/>
        <v>12</v>
      </c>
      <c r="D19" s="5">
        <f t="shared" si="9"/>
        <v>51</v>
      </c>
      <c r="E19" s="7">
        <f t="shared" si="0"/>
        <v>100000</v>
      </c>
      <c r="F19" s="7">
        <f>VLOOKUP(C19,'Q.1.input'!$F$4:$G$19,2,FALSE)*E19</f>
        <v>1000</v>
      </c>
      <c r="G19" s="7">
        <f t="shared" si="1"/>
        <v>99000</v>
      </c>
      <c r="H19" s="7">
        <f t="shared" si="2"/>
        <v>495</v>
      </c>
      <c r="I19" s="7">
        <f t="shared" si="3"/>
        <v>98505</v>
      </c>
      <c r="J19" s="7">
        <f t="shared" si="4"/>
        <v>1999024.8686226578</v>
      </c>
      <c r="K19" s="7">
        <f>'Q.1.input'!$G$23</f>
        <v>1000</v>
      </c>
      <c r="L19" s="7">
        <f t="shared" si="5"/>
        <v>1998024.8686226578</v>
      </c>
      <c r="M19" s="7">
        <f>L19*'Q.1.input'!$N$4</f>
        <v>199802.4868622658</v>
      </c>
      <c r="N19" s="7">
        <f t="shared" si="6"/>
        <v>2197827.3554849238</v>
      </c>
      <c r="O19" s="7">
        <f>N19*'Q.1.input'!$G$24</f>
        <v>10989.136777424619</v>
      </c>
      <c r="P19" s="7">
        <f t="shared" si="7"/>
        <v>2186838.2187074991</v>
      </c>
      <c r="Q19" s="103"/>
    </row>
    <row r="20" spans="3:17" x14ac:dyDescent="0.35">
      <c r="C20" s="5">
        <f t="shared" si="8"/>
        <v>13</v>
      </c>
      <c r="D20" s="5">
        <f t="shared" si="9"/>
        <v>52</v>
      </c>
      <c r="E20" s="7">
        <f t="shared" si="0"/>
        <v>100000</v>
      </c>
      <c r="F20" s="7">
        <f>VLOOKUP(C20,'Q.1.input'!$F$4:$G$19,2,FALSE)*E20</f>
        <v>1000</v>
      </c>
      <c r="G20" s="7">
        <f t="shared" si="1"/>
        <v>99000</v>
      </c>
      <c r="H20" s="7">
        <f t="shared" si="2"/>
        <v>495</v>
      </c>
      <c r="I20" s="7">
        <f t="shared" si="3"/>
        <v>98505</v>
      </c>
      <c r="J20" s="7">
        <f t="shared" si="4"/>
        <v>2285343.2187074991</v>
      </c>
      <c r="K20" s="7">
        <f>'Q.1.input'!$G$23</f>
        <v>1000</v>
      </c>
      <c r="L20" s="7">
        <f t="shared" si="5"/>
        <v>2284343.2187074991</v>
      </c>
      <c r="M20" s="7">
        <f>L20*'Q.1.input'!$N$4</f>
        <v>228434.32187074993</v>
      </c>
      <c r="N20" s="7">
        <f t="shared" si="6"/>
        <v>2512777.5405782489</v>
      </c>
      <c r="O20" s="7">
        <f>N20*'Q.1.input'!$G$24</f>
        <v>12563.887702891245</v>
      </c>
      <c r="P20" s="7">
        <f t="shared" si="7"/>
        <v>2500213.6528753578</v>
      </c>
      <c r="Q20" s="103"/>
    </row>
    <row r="21" spans="3:17" x14ac:dyDescent="0.35">
      <c r="C21" s="5">
        <f t="shared" si="8"/>
        <v>14</v>
      </c>
      <c r="D21" s="5">
        <f t="shared" si="9"/>
        <v>53</v>
      </c>
      <c r="E21" s="7">
        <f t="shared" si="0"/>
        <v>100000</v>
      </c>
      <c r="F21" s="7">
        <f>VLOOKUP(C21,'Q.1.input'!$F$4:$G$19,2,FALSE)*E21</f>
        <v>1000</v>
      </c>
      <c r="G21" s="7">
        <f t="shared" si="1"/>
        <v>99000</v>
      </c>
      <c r="H21" s="7">
        <f t="shared" si="2"/>
        <v>495</v>
      </c>
      <c r="I21" s="7">
        <f t="shared" si="3"/>
        <v>98505</v>
      </c>
      <c r="J21" s="7">
        <f t="shared" si="4"/>
        <v>2598718.6528753578</v>
      </c>
      <c r="K21" s="7">
        <f>'Q.1.input'!$G$23</f>
        <v>1000</v>
      </c>
      <c r="L21" s="7">
        <f t="shared" si="5"/>
        <v>2597718.6528753578</v>
      </c>
      <c r="M21" s="7">
        <f>L21*'Q.1.input'!$N$4</f>
        <v>259771.86528753579</v>
      </c>
      <c r="N21" s="7">
        <f t="shared" si="6"/>
        <v>2857490.5181628936</v>
      </c>
      <c r="O21" s="7">
        <f>N21*'Q.1.input'!$G$24</f>
        <v>14287.452590814468</v>
      </c>
      <c r="P21" s="7">
        <f t="shared" si="7"/>
        <v>2843203.0655720793</v>
      </c>
      <c r="Q21" s="103"/>
    </row>
    <row r="22" spans="3:17" x14ac:dyDescent="0.35">
      <c r="C22" s="5">
        <f t="shared" si="8"/>
        <v>15</v>
      </c>
      <c r="D22" s="5">
        <f t="shared" si="9"/>
        <v>54</v>
      </c>
      <c r="E22" s="7">
        <f t="shared" si="0"/>
        <v>100000</v>
      </c>
      <c r="F22" s="7">
        <f>VLOOKUP(C22,'Q.1.input'!$F$4:$G$19,2,FALSE)*E22</f>
        <v>1000</v>
      </c>
      <c r="G22" s="7">
        <f t="shared" si="1"/>
        <v>99000</v>
      </c>
      <c r="H22" s="7">
        <f t="shared" si="2"/>
        <v>495</v>
      </c>
      <c r="I22" s="7">
        <f t="shared" si="3"/>
        <v>98505</v>
      </c>
      <c r="J22" s="7">
        <f t="shared" si="4"/>
        <v>2941708.0655720793</v>
      </c>
      <c r="K22" s="7">
        <f>'Q.1.input'!$G$23</f>
        <v>1000</v>
      </c>
      <c r="L22" s="7">
        <f t="shared" si="5"/>
        <v>2940708.0655720793</v>
      </c>
      <c r="M22" s="7">
        <f>L22*'Q.1.input'!$N$4</f>
        <v>294070.80655720795</v>
      </c>
      <c r="N22" s="7">
        <f t="shared" si="6"/>
        <v>3234778.8721292871</v>
      </c>
      <c r="O22" s="7">
        <f>N22*'Q.1.input'!$G$24</f>
        <v>16173.894360646436</v>
      </c>
      <c r="P22" s="7">
        <f t="shared" si="7"/>
        <v>3218604.9777686405</v>
      </c>
      <c r="Q22" s="103"/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840C-F129-435D-80DE-56A64F64F5FD}">
  <dimension ref="A1:U26"/>
  <sheetViews>
    <sheetView showGridLines="0" zoomScaleNormal="100" workbookViewId="0"/>
  </sheetViews>
  <sheetFormatPr defaultRowHeight="14.5" x14ac:dyDescent="0.35"/>
  <cols>
    <col min="1" max="1" width="11.1796875" bestFit="1" customWidth="1"/>
    <col min="2" max="2" width="9.6328125" bestFit="1" customWidth="1"/>
    <col min="6" max="6" width="16.36328125" bestFit="1" customWidth="1"/>
    <col min="7" max="7" width="9.08984375" customWidth="1"/>
    <col min="8" max="8" width="11.08984375" bestFit="1" customWidth="1"/>
    <col min="9" max="9" width="7.90625" bestFit="1" customWidth="1"/>
    <col min="13" max="13" width="11.81640625" customWidth="1"/>
    <col min="14" max="14" width="8.81640625" bestFit="1" customWidth="1"/>
    <col min="15" max="15" width="9.6328125" bestFit="1" customWidth="1"/>
    <col min="16" max="16" width="12.1796875" bestFit="1" customWidth="1"/>
    <col min="17" max="17" width="8.81640625" bestFit="1" customWidth="1"/>
    <col min="18" max="18" width="7.90625" bestFit="1" customWidth="1"/>
    <col min="19" max="19" width="9.81640625" bestFit="1" customWidth="1"/>
    <col min="20" max="20" width="8.81640625" bestFit="1" customWidth="1"/>
    <col min="21" max="21" width="9.36328125" bestFit="1" customWidth="1"/>
  </cols>
  <sheetData>
    <row r="1" spans="1:21" x14ac:dyDescent="0.35">
      <c r="A1" t="s">
        <v>13</v>
      </c>
      <c r="B1">
        <v>100000</v>
      </c>
    </row>
    <row r="2" spans="1:21" x14ac:dyDescent="0.35">
      <c r="A2" t="s">
        <v>14</v>
      </c>
      <c r="B2" s="7">
        <v>1500000</v>
      </c>
    </row>
    <row r="3" spans="1:21" x14ac:dyDescent="0.35">
      <c r="A3" t="s">
        <v>15</v>
      </c>
      <c r="B3">
        <v>40</v>
      </c>
      <c r="F3" s="2" t="s">
        <v>40</v>
      </c>
      <c r="G3" s="36">
        <f>SUM($U$8:$U$22)</f>
        <v>36.528795001676372</v>
      </c>
      <c r="H3" s="96"/>
    </row>
    <row r="5" spans="1:21" s="96" customFormat="1" ht="15" thickBot="1" x14ac:dyDescent="0.4"/>
    <row r="6" spans="1:21" ht="58" x14ac:dyDescent="0.35">
      <c r="C6" s="15" t="s">
        <v>3</v>
      </c>
      <c r="D6" s="16" t="s">
        <v>1</v>
      </c>
      <c r="E6" s="17" t="s">
        <v>41</v>
      </c>
      <c r="F6" s="17" t="s">
        <v>30</v>
      </c>
      <c r="G6" s="18" t="s">
        <v>31</v>
      </c>
      <c r="H6" s="15" t="s">
        <v>25</v>
      </c>
      <c r="I6" s="17" t="s">
        <v>26</v>
      </c>
      <c r="J6" s="16" t="s">
        <v>18</v>
      </c>
      <c r="K6" s="17" t="s">
        <v>27</v>
      </c>
      <c r="L6" s="17" t="s">
        <v>6</v>
      </c>
      <c r="M6" s="18" t="s">
        <v>28</v>
      </c>
      <c r="N6" s="15" t="s">
        <v>29</v>
      </c>
      <c r="O6" s="17" t="s">
        <v>32</v>
      </c>
      <c r="P6" s="17" t="s">
        <v>33</v>
      </c>
      <c r="Q6" s="18" t="s">
        <v>34</v>
      </c>
      <c r="R6" s="15" t="s">
        <v>35</v>
      </c>
      <c r="S6" s="17" t="s">
        <v>36</v>
      </c>
      <c r="T6" s="17" t="s">
        <v>37</v>
      </c>
      <c r="U6" s="18" t="s">
        <v>39</v>
      </c>
    </row>
    <row r="7" spans="1:21" x14ac:dyDescent="0.35">
      <c r="C7" s="19"/>
      <c r="G7" s="20"/>
      <c r="H7" s="19"/>
      <c r="M7" s="20"/>
      <c r="N7" s="19"/>
      <c r="Q7" s="20"/>
      <c r="R7" s="19"/>
      <c r="U7" s="20"/>
    </row>
    <row r="8" spans="1:21" x14ac:dyDescent="0.35">
      <c r="C8" s="21">
        <f>'Q.1.i'!C8</f>
        <v>1</v>
      </c>
      <c r="D8" s="5">
        <f>'Q.1.i'!D8</f>
        <v>40</v>
      </c>
      <c r="E8" s="5">
        <v>1</v>
      </c>
      <c r="F8" s="5">
        <f>VLOOKUP(D8,'Q.1.input'!$B$5:$C$46,2,FALSE)*80%</f>
        <v>1.3579014999999999E-3</v>
      </c>
      <c r="G8" s="22">
        <f>'Q.1.input'!K9</f>
        <v>0.1</v>
      </c>
      <c r="H8" s="21">
        <f>'Q.1.i'!F8</f>
        <v>5000</v>
      </c>
      <c r="I8" s="5">
        <f>'Q.1.i'!H8</f>
        <v>475</v>
      </c>
      <c r="J8" s="5">
        <f>'Q.1.i'!K8</f>
        <v>1000</v>
      </c>
      <c r="K8" s="5">
        <f>'Q.1.input'!$K$4</f>
        <v>10000</v>
      </c>
      <c r="L8" s="5">
        <v>0</v>
      </c>
      <c r="M8" s="27">
        <f>H8</f>
        <v>5000</v>
      </c>
      <c r="N8" s="29">
        <f>(SUM(H8:J8)-SUM(K8:M8))*'Q.1.input'!$N$5</f>
        <v>-511.5</v>
      </c>
      <c r="O8" s="7">
        <f>'Q.1.i'!O8</f>
        <v>514.38750000000005</v>
      </c>
      <c r="P8" s="7">
        <f>MAX($B$2-'Q.1.i'!P8,0)</f>
        <v>1397636.8875</v>
      </c>
      <c r="Q8" s="30">
        <f t="shared" ref="Q8:Q22" si="0">P8*F8</f>
        <v>1897.853225991581</v>
      </c>
      <c r="R8" s="29">
        <f>SUM(H8:J8,N8:O8)-SUM(K8:M8,Q8)</f>
        <v>-10419.96572599158</v>
      </c>
      <c r="S8" s="7">
        <f>R8*E8</f>
        <v>-10419.96572599158</v>
      </c>
      <c r="T8" s="34">
        <f>(1+'Q.1.input'!$G$27)^-C8</f>
        <v>0.88495575221238942</v>
      </c>
      <c r="U8" s="30">
        <f>T8*S8</f>
        <v>-9221.2086070721962</v>
      </c>
    </row>
    <row r="9" spans="1:21" x14ac:dyDescent="0.35">
      <c r="C9" s="21">
        <f>'Q.1.i'!C9</f>
        <v>2</v>
      </c>
      <c r="D9" s="5">
        <f>'Q.1.i'!D9</f>
        <v>41</v>
      </c>
      <c r="E9" s="14">
        <f t="shared" ref="E9:E22" si="1">E8*(1-F8)*(1-G8)</f>
        <v>0.89877788864999997</v>
      </c>
      <c r="F9" s="5">
        <f>VLOOKUP(D9,'Q.1.input'!$B$5:$C$46,2,FALSE)*80%</f>
        <v>1.4797389999999999E-3</v>
      </c>
      <c r="G9" s="22">
        <f>'Q.1.input'!K10</f>
        <v>0.05</v>
      </c>
      <c r="H9" s="21">
        <f>'Q.1.i'!F9</f>
        <v>2000</v>
      </c>
      <c r="I9" s="5">
        <f>'Q.1.i'!H9</f>
        <v>490</v>
      </c>
      <c r="J9" s="5">
        <f>'Q.1.i'!K9</f>
        <v>1000</v>
      </c>
      <c r="K9" s="5">
        <v>0</v>
      </c>
      <c r="L9" s="5">
        <f>'Q.1.input'!$K$5</f>
        <v>3000</v>
      </c>
      <c r="M9" s="27">
        <f t="shared" ref="M9:M22" si="2">H9</f>
        <v>2000</v>
      </c>
      <c r="N9" s="29">
        <f>(SUM(H9:J9)-SUM(K9:M9))*'Q.1.input'!$N$5</f>
        <v>-90.6</v>
      </c>
      <c r="O9" s="7">
        <f>'Q.1.i'!O9</f>
        <v>1093.8021187499999</v>
      </c>
      <c r="P9" s="7">
        <f>MAX($B$2-'Q.1.i'!P9,0)</f>
        <v>1282333.37836875</v>
      </c>
      <c r="Q9" s="30">
        <f t="shared" si="0"/>
        <v>1897.5187109739957</v>
      </c>
      <c r="R9" s="29">
        <f t="shared" ref="R9:R22" si="3">SUM(H9:J9,N9:O9)-SUM(K9:M9,Q9)</f>
        <v>-2404.3165922239959</v>
      </c>
      <c r="S9" s="7">
        <f t="shared" ref="S9:S22" si="4">R9*E9</f>
        <v>-2160.9465904052458</v>
      </c>
      <c r="T9" s="34">
        <f>(1+'Q.1.input'!$G$27)^-C9</f>
        <v>0.78314668337379612</v>
      </c>
      <c r="U9" s="30">
        <f t="shared" ref="U9:U22" si="5">T9*S9</f>
        <v>-1692.3381552237813</v>
      </c>
    </row>
    <row r="10" spans="1:21" x14ac:dyDescent="0.35">
      <c r="C10" s="21">
        <f>'Q.1.i'!C10</f>
        <v>3</v>
      </c>
      <c r="D10" s="5">
        <f>'Q.1.i'!D10</f>
        <v>42</v>
      </c>
      <c r="E10" s="14">
        <f t="shared" si="1"/>
        <v>0.85257553535803554</v>
      </c>
      <c r="F10" s="5">
        <f>VLOOKUP(D10,'Q.1.input'!$B$5:$C$46,2,FALSE)*80%</f>
        <v>1.6207094999999999E-3</v>
      </c>
      <c r="G10" s="22">
        <f>'Q.1.input'!K11</f>
        <v>0.05</v>
      </c>
      <c r="H10" s="21">
        <f>'Q.1.i'!F10</f>
        <v>2000</v>
      </c>
      <c r="I10" s="5">
        <f>'Q.1.i'!H10</f>
        <v>490</v>
      </c>
      <c r="J10" s="5">
        <f>'Q.1.i'!K10</f>
        <v>1000</v>
      </c>
      <c r="K10" s="5">
        <v>0</v>
      </c>
      <c r="L10" s="5">
        <f>'Q.1.input'!$K$5</f>
        <v>3000</v>
      </c>
      <c r="M10" s="27">
        <f t="shared" si="2"/>
        <v>2000</v>
      </c>
      <c r="N10" s="29">
        <f>(SUM(H10:J10)-SUM(K10:M10))*'Q.1.input'!$N$5</f>
        <v>-90.6</v>
      </c>
      <c r="O10" s="7">
        <f>'Q.1.i'!O10</f>
        <v>1727.9714189718752</v>
      </c>
      <c r="P10" s="7">
        <f>MAX($B$2-'Q.1.i'!P10,0)</f>
        <v>1156133.687624597</v>
      </c>
      <c r="Q10" s="30">
        <f t="shared" si="0"/>
        <v>1873.7568508032166</v>
      </c>
      <c r="R10" s="29">
        <f t="shared" si="3"/>
        <v>-1746.3854318313406</v>
      </c>
      <c r="S10" s="7">
        <f t="shared" si="4"/>
        <v>-1488.9254944850793</v>
      </c>
      <c r="T10" s="34">
        <f>(1+'Q.1.input'!$G$27)^-C10</f>
        <v>0.69305016227769578</v>
      </c>
      <c r="U10" s="30">
        <f t="shared" si="5"/>
        <v>-1031.9000555722826</v>
      </c>
    </row>
    <row r="11" spans="1:21" x14ac:dyDescent="0.35">
      <c r="C11" s="21">
        <f>'Q.1.i'!C11</f>
        <v>4</v>
      </c>
      <c r="D11" s="5">
        <f>'Q.1.i'!D11</f>
        <v>43</v>
      </c>
      <c r="E11" s="14">
        <f t="shared" si="1"/>
        <v>0.80863407018399247</v>
      </c>
      <c r="F11" s="5">
        <f>VLOOKUP(D11,'Q.1.input'!$B$5:$C$46,2,FALSE)*80%</f>
        <v>1.7840619999999999E-3</v>
      </c>
      <c r="G11" s="22">
        <f>'Q.1.input'!K12</f>
        <v>0.02</v>
      </c>
      <c r="H11" s="21">
        <f>'Q.1.i'!F11</f>
        <v>2000</v>
      </c>
      <c r="I11" s="5">
        <f>'Q.1.i'!H11</f>
        <v>490</v>
      </c>
      <c r="J11" s="5">
        <f>'Q.1.i'!K11</f>
        <v>1000</v>
      </c>
      <c r="K11" s="5">
        <v>0</v>
      </c>
      <c r="L11" s="5">
        <f>'Q.1.input'!$K$5</f>
        <v>3000</v>
      </c>
      <c r="M11" s="27">
        <f t="shared" si="2"/>
        <v>2000</v>
      </c>
      <c r="N11" s="29">
        <f>(SUM(H11:J11)-SUM(K11:M11))*'Q.1.input'!$N$5</f>
        <v>-90.6</v>
      </c>
      <c r="O11" s="7">
        <f>'Q.1.i'!O11</f>
        <v>2422.0697180647176</v>
      </c>
      <c r="P11" s="7">
        <f>MAX($B$2-'Q.1.i'!P11,0)</f>
        <v>1018008.1261051213</v>
      </c>
      <c r="Q11" s="30">
        <f t="shared" si="0"/>
        <v>1816.1896134753549</v>
      </c>
      <c r="R11" s="29">
        <f t="shared" si="3"/>
        <v>-994.71989541063704</v>
      </c>
      <c r="S11" s="7">
        <f t="shared" si="4"/>
        <v>-804.36439771889877</v>
      </c>
      <c r="T11" s="34">
        <f>(1+'Q.1.input'!$G$27)^-C11</f>
        <v>0.61331872767937679</v>
      </c>
      <c r="U11" s="30">
        <f t="shared" si="5"/>
        <v>-493.33174899954321</v>
      </c>
    </row>
    <row r="12" spans="1:21" x14ac:dyDescent="0.35">
      <c r="C12" s="21">
        <f>'Q.1.i'!C12</f>
        <v>5</v>
      </c>
      <c r="D12" s="5">
        <f>'Q.1.i'!D12</f>
        <v>44</v>
      </c>
      <c r="E12" s="14">
        <f t="shared" si="1"/>
        <v>0.79104758853012247</v>
      </c>
      <c r="F12" s="5">
        <f>VLOOKUP(D12,'Q.1.input'!$B$5:$C$46,2,FALSE)*80%</f>
        <v>1.9732259999999998E-3</v>
      </c>
      <c r="G12" s="22">
        <f>'Q.1.input'!K13</f>
        <v>0.02</v>
      </c>
      <c r="H12" s="21">
        <f>'Q.1.i'!F12</f>
        <v>2000</v>
      </c>
      <c r="I12" s="5">
        <f>'Q.1.i'!H12</f>
        <v>490</v>
      </c>
      <c r="J12" s="5">
        <f>'Q.1.i'!K12</f>
        <v>1000</v>
      </c>
      <c r="K12" s="5">
        <v>0</v>
      </c>
      <c r="L12" s="5">
        <f>'Q.1.input'!$K$5</f>
        <v>3000</v>
      </c>
      <c r="M12" s="27">
        <f t="shared" si="2"/>
        <v>2000</v>
      </c>
      <c r="N12" s="29">
        <f>(SUM(H12:J12)-SUM(K12:M12))*'Q.1.input'!$N$5</f>
        <v>-90.6</v>
      </c>
      <c r="O12" s="7">
        <f>'Q.1.i'!O12</f>
        <v>3181.7603064218329</v>
      </c>
      <c r="P12" s="7">
        <f>MAX($B$2-'Q.1.i'!P12,0)</f>
        <v>866829.69902205525</v>
      </c>
      <c r="Q12" s="30">
        <f t="shared" si="0"/>
        <v>1710.4508996824939</v>
      </c>
      <c r="R12" s="29">
        <f t="shared" si="3"/>
        <v>-129.2905932606609</v>
      </c>
      <c r="S12" s="7">
        <f t="shared" si="4"/>
        <v>-102.27501201847471</v>
      </c>
      <c r="T12" s="34">
        <f>(1+'Q.1.input'!$G$27)^-C12</f>
        <v>0.54275993599944861</v>
      </c>
      <c r="U12" s="30">
        <f t="shared" si="5"/>
        <v>-55.510778977490169</v>
      </c>
    </row>
    <row r="13" spans="1:21" x14ac:dyDescent="0.35">
      <c r="C13" s="21">
        <f>'Q.1.i'!C13</f>
        <v>6</v>
      </c>
      <c r="D13" s="5">
        <f>'Q.1.i'!D13</f>
        <v>45</v>
      </c>
      <c r="E13" s="14">
        <f t="shared" si="1"/>
        <v>0.77369693940397344</v>
      </c>
      <c r="F13" s="5">
        <f>VLOOKUP(D13,'Q.1.input'!$B$5:$C$46,2,FALSE)*80%</f>
        <v>2.1914504999999999E-3</v>
      </c>
      <c r="G13" s="22">
        <f>'Q.1.input'!K14</f>
        <v>0.01</v>
      </c>
      <c r="H13" s="21">
        <f>'Q.1.i'!F13</f>
        <v>1000</v>
      </c>
      <c r="I13" s="5">
        <f>'Q.1.i'!H13</f>
        <v>495</v>
      </c>
      <c r="J13" s="5">
        <f>'Q.1.i'!K13</f>
        <v>1000</v>
      </c>
      <c r="K13" s="5">
        <v>0</v>
      </c>
      <c r="L13" s="5">
        <f>'Q.1.input'!$K$5</f>
        <v>3000</v>
      </c>
      <c r="M13" s="27">
        <f t="shared" si="2"/>
        <v>1000</v>
      </c>
      <c r="N13" s="29">
        <f>(SUM(H13:J13)-SUM(K13:M13))*'Q.1.input'!$N$5</f>
        <v>-90.3</v>
      </c>
      <c r="O13" s="7">
        <f>'Q.1.i'!O13</f>
        <v>4018.7141553786964</v>
      </c>
      <c r="P13" s="7">
        <f>MAX($B$2-'Q.1.i'!P13,0)</f>
        <v>700275.88307963952</v>
      </c>
      <c r="Q13" s="30">
        <f t="shared" si="0"/>
        <v>1534.6199341128174</v>
      </c>
      <c r="R13" s="29">
        <f t="shared" si="3"/>
        <v>888.79422126587815</v>
      </c>
      <c r="S13" s="7">
        <f t="shared" si="4"/>
        <v>687.6573687533479</v>
      </c>
      <c r="T13" s="34">
        <f>(1+'Q.1.input'!$G$27)^-C13</f>
        <v>0.48031852743314046</v>
      </c>
      <c r="U13" s="30">
        <f t="shared" si="5"/>
        <v>330.29457473815614</v>
      </c>
    </row>
    <row r="14" spans="1:21" x14ac:dyDescent="0.35">
      <c r="C14" s="21">
        <f>'Q.1.i'!C14</f>
        <v>7</v>
      </c>
      <c r="D14" s="5">
        <f>'Q.1.i'!D14</f>
        <v>46</v>
      </c>
      <c r="E14" s="14">
        <f t="shared" si="1"/>
        <v>0.76428140665067545</v>
      </c>
      <c r="F14" s="5">
        <f>VLOOKUP(D14,'Q.1.input'!$B$5:$C$46,2,FALSE)*80%</f>
        <v>2.4416235000000001E-3</v>
      </c>
      <c r="G14" s="22">
        <f>'Q.1.input'!K15</f>
        <v>0.01</v>
      </c>
      <c r="H14" s="21">
        <f>'Q.1.i'!F14</f>
        <v>1000</v>
      </c>
      <c r="I14" s="5">
        <f>'Q.1.i'!H14</f>
        <v>495</v>
      </c>
      <c r="J14" s="5">
        <f>'Q.1.i'!K14</f>
        <v>1000</v>
      </c>
      <c r="K14" s="5">
        <v>0</v>
      </c>
      <c r="L14" s="5">
        <f>'Q.1.input'!$K$5</f>
        <v>3000</v>
      </c>
      <c r="M14" s="27">
        <f t="shared" si="2"/>
        <v>1000</v>
      </c>
      <c r="N14" s="29">
        <f>(SUM(H14:J14)-SUM(K14:M14))*'Q.1.input'!$N$5</f>
        <v>-90.3</v>
      </c>
      <c r="O14" s="7">
        <f>'Q.1.i'!O14</f>
        <v>4934.7601430619825</v>
      </c>
      <c r="P14" s="7">
        <f>MAX($B$2-'Q.1.i'!P14,0)</f>
        <v>517982.73153066542</v>
      </c>
      <c r="Q14" s="30">
        <f t="shared" si="0"/>
        <v>1264.7188098994636</v>
      </c>
      <c r="R14" s="29">
        <f t="shared" si="3"/>
        <v>2074.7413331625185</v>
      </c>
      <c r="S14" s="7">
        <f t="shared" si="4"/>
        <v>1585.6862245457473</v>
      </c>
      <c r="T14" s="34">
        <f>(1+'Q.1.input'!$G$27)^-C14</f>
        <v>0.425060643746142</v>
      </c>
      <c r="U14" s="30">
        <f t="shared" si="5"/>
        <v>674.01280738480489</v>
      </c>
    </row>
    <row r="15" spans="1:21" x14ac:dyDescent="0.35">
      <c r="C15" s="21">
        <f>'Q.1.i'!C15</f>
        <v>8</v>
      </c>
      <c r="D15" s="5">
        <f>'Q.1.i'!D15</f>
        <v>47</v>
      </c>
      <c r="E15" s="14">
        <f t="shared" si="1"/>
        <v>0.75479116601550822</v>
      </c>
      <c r="F15" s="5">
        <f>VLOOKUP(D15,'Q.1.input'!$B$5:$C$46,2,FALSE)*80%</f>
        <v>2.7251889999999998E-3</v>
      </c>
      <c r="G15" s="22">
        <f>'Q.1.input'!K16</f>
        <v>0.01</v>
      </c>
      <c r="H15" s="21">
        <f>'Q.1.i'!F15</f>
        <v>1000</v>
      </c>
      <c r="I15" s="5">
        <f>'Q.1.i'!H15</f>
        <v>495</v>
      </c>
      <c r="J15" s="5">
        <f>'Q.1.i'!K15</f>
        <v>1000</v>
      </c>
      <c r="K15" s="5">
        <v>0</v>
      </c>
      <c r="L15" s="5">
        <f>'Q.1.input'!$K$5</f>
        <v>3000</v>
      </c>
      <c r="M15" s="27">
        <f t="shared" si="2"/>
        <v>1000</v>
      </c>
      <c r="N15" s="29">
        <f>(SUM(H15:J15)-SUM(K15:M15))*'Q.1.input'!$N$5</f>
        <v>-90.3</v>
      </c>
      <c r="O15" s="7">
        <f>'Q.1.i'!O15</f>
        <v>5937.3724765813395</v>
      </c>
      <c r="P15" s="7">
        <f>MAX($B$2-'Q.1.i'!P15,0)</f>
        <v>318462.87716031331</v>
      </c>
      <c r="Q15" s="30">
        <f t="shared" si="0"/>
        <v>867.87152974563696</v>
      </c>
      <c r="R15" s="29">
        <f t="shared" si="3"/>
        <v>3474.2009468357028</v>
      </c>
      <c r="S15" s="7">
        <f t="shared" si="4"/>
        <v>2622.2961836343029</v>
      </c>
      <c r="T15" s="34">
        <f>(1+'Q.1.input'!$G$27)^-C15</f>
        <v>0.37615986172224958</v>
      </c>
      <c r="U15" s="30">
        <f t="shared" si="5"/>
        <v>986.40256983066217</v>
      </c>
    </row>
    <row r="16" spans="1:21" x14ac:dyDescent="0.35">
      <c r="C16" s="21">
        <f>'Q.1.i'!C16</f>
        <v>9</v>
      </c>
      <c r="D16" s="5">
        <f>'Q.1.i'!D16</f>
        <v>48</v>
      </c>
      <c r="E16" s="14">
        <f t="shared" si="1"/>
        <v>0.74520687525825979</v>
      </c>
      <c r="F16" s="5">
        <f>VLOOKUP(D16,'Q.1.input'!$B$5:$C$46,2,FALSE)*80%</f>
        <v>3.0417859999999994E-3</v>
      </c>
      <c r="G16" s="22">
        <f>'Q.1.input'!K17</f>
        <v>0.01</v>
      </c>
      <c r="H16" s="21">
        <f>'Q.1.i'!F16</f>
        <v>1000</v>
      </c>
      <c r="I16" s="5">
        <f>'Q.1.i'!H16</f>
        <v>495</v>
      </c>
      <c r="J16" s="5">
        <f>'Q.1.i'!K16</f>
        <v>1000</v>
      </c>
      <c r="K16" s="5">
        <v>0</v>
      </c>
      <c r="L16" s="5">
        <f>'Q.1.input'!$K$5</f>
        <v>3000</v>
      </c>
      <c r="M16" s="27">
        <f t="shared" si="2"/>
        <v>1000</v>
      </c>
      <c r="N16" s="29">
        <f>(SUM(H16:J16)-SUM(K16:M16))*'Q.1.input'!$N$5</f>
        <v>-90.3</v>
      </c>
      <c r="O16" s="7">
        <f>'Q.1.i'!O16</f>
        <v>7034.7316756182772</v>
      </c>
      <c r="P16" s="7">
        <f>MAX($B$2-'Q.1.i'!P16,0)</f>
        <v>100088.39655196294</v>
      </c>
      <c r="Q16" s="30">
        <f t="shared" si="0"/>
        <v>304.44748339420909</v>
      </c>
      <c r="R16" s="29">
        <f t="shared" si="3"/>
        <v>5134.9841922240685</v>
      </c>
      <c r="S16" s="7">
        <f t="shared" si="4"/>
        <v>3826.6255243878572</v>
      </c>
      <c r="T16" s="34">
        <f>(1+'Q.1.input'!$G$27)^-C16</f>
        <v>0.33288483338252178</v>
      </c>
      <c r="U16" s="30">
        <f t="shared" si="5"/>
        <v>1273.8256001031568</v>
      </c>
    </row>
    <row r="17" spans="3:21" x14ac:dyDescent="0.35">
      <c r="C17" s="21">
        <f>'Q.1.i'!C17</f>
        <v>10</v>
      </c>
      <c r="D17" s="5">
        <f>'Q.1.i'!D17</f>
        <v>49</v>
      </c>
      <c r="E17" s="14">
        <f t="shared" si="1"/>
        <v>0.73551071426381542</v>
      </c>
      <c r="F17" s="5">
        <f>VLOOKUP(D17,'Q.1.input'!$B$5:$C$46,2,FALSE)*80%</f>
        <v>3.3894290000000002E-3</v>
      </c>
      <c r="G17" s="22">
        <f>'Q.1.input'!K18</f>
        <v>0.01</v>
      </c>
      <c r="H17" s="21">
        <f>'Q.1.i'!F17</f>
        <v>1000</v>
      </c>
      <c r="I17" s="5">
        <f>'Q.1.i'!H17</f>
        <v>495</v>
      </c>
      <c r="J17" s="5">
        <f>'Q.1.i'!K17</f>
        <v>1000</v>
      </c>
      <c r="K17" s="5">
        <v>0</v>
      </c>
      <c r="L17" s="5">
        <f>'Q.1.input'!$K$5</f>
        <v>3000</v>
      </c>
      <c r="M17" s="27">
        <f t="shared" si="2"/>
        <v>1000</v>
      </c>
      <c r="N17" s="29">
        <f>(SUM(H17:J17)-SUM(K17:M17))*'Q.1.input'!$N$5</f>
        <v>-90.3</v>
      </c>
      <c r="O17" s="7">
        <f>'Q.1.i'!O17</f>
        <v>8235.791318964204</v>
      </c>
      <c r="P17" s="7">
        <f>MAX($B$2-'Q.1.i'!P17,0)</f>
        <v>0</v>
      </c>
      <c r="Q17" s="30">
        <f t="shared" si="0"/>
        <v>0</v>
      </c>
      <c r="R17" s="29">
        <f t="shared" si="3"/>
        <v>6640.4913189642029</v>
      </c>
      <c r="S17" s="7">
        <f t="shared" si="4"/>
        <v>4884.1525130740265</v>
      </c>
      <c r="T17" s="34">
        <f>(1+'Q.1.input'!$G$27)^-C17</f>
        <v>0.2945883481261255</v>
      </c>
      <c r="U17" s="30">
        <f t="shared" si="5"/>
        <v>1438.8144208225419</v>
      </c>
    </row>
    <row r="18" spans="3:21" x14ac:dyDescent="0.35">
      <c r="C18" s="21">
        <f>'Q.1.i'!C18</f>
        <v>11</v>
      </c>
      <c r="D18" s="5">
        <f>'Q.1.i'!D18</f>
        <v>50</v>
      </c>
      <c r="E18" s="14">
        <f t="shared" si="1"/>
        <v>0.72568757538988815</v>
      </c>
      <c r="F18" s="5">
        <f>VLOOKUP(D18,'Q.1.input'!$B$5:$C$46,2,FALSE)*80%</f>
        <v>3.7646885000000001E-3</v>
      </c>
      <c r="G18" s="22">
        <f>'Q.1.input'!K19</f>
        <v>0.01</v>
      </c>
      <c r="H18" s="21">
        <f>'Q.1.i'!F18</f>
        <v>1000</v>
      </c>
      <c r="I18" s="5">
        <f>'Q.1.i'!H18</f>
        <v>495</v>
      </c>
      <c r="J18" s="5">
        <f>'Q.1.i'!K18</f>
        <v>1000</v>
      </c>
      <c r="K18" s="5">
        <v>0</v>
      </c>
      <c r="L18" s="5">
        <f>'Q.1.input'!$K$5</f>
        <v>3000</v>
      </c>
      <c r="M18" s="27">
        <f t="shared" si="2"/>
        <v>1000</v>
      </c>
      <c r="N18" s="29">
        <f>(SUM(H18:J18)-SUM(K18:M18))*'Q.1.input'!$N$5</f>
        <v>-90.3</v>
      </c>
      <c r="O18" s="7">
        <f>'Q.1.i'!O18</f>
        <v>9550.3510986063211</v>
      </c>
      <c r="P18" s="7">
        <f>MAX($B$2-'Q.1.i'!P18,0)</f>
        <v>0</v>
      </c>
      <c r="Q18" s="30">
        <f t="shared" si="0"/>
        <v>0</v>
      </c>
      <c r="R18" s="29">
        <f t="shared" si="3"/>
        <v>7955.05109860632</v>
      </c>
      <c r="S18" s="7">
        <f t="shared" si="4"/>
        <v>5772.8817438502865</v>
      </c>
      <c r="T18" s="34">
        <f>(1+'Q.1.input'!$G$27)^-C18</f>
        <v>0.26069765320896066</v>
      </c>
      <c r="U18" s="30">
        <f t="shared" si="5"/>
        <v>1504.9767228746221</v>
      </c>
    </row>
    <row r="19" spans="3:21" x14ac:dyDescent="0.35">
      <c r="C19" s="21">
        <f>'Q.1.i'!C19</f>
        <v>12</v>
      </c>
      <c r="D19" s="5">
        <f>'Q.1.i'!D19</f>
        <v>51</v>
      </c>
      <c r="E19" s="14">
        <f t="shared" si="1"/>
        <v>0.71572603184302264</v>
      </c>
      <c r="F19" s="5">
        <f>VLOOKUP(D19,'Q.1.input'!$B$5:$C$46,2,FALSE)*80%</f>
        <v>4.1635934999999999E-3</v>
      </c>
      <c r="G19" s="22">
        <f>'Q.1.input'!K20</f>
        <v>0.01</v>
      </c>
      <c r="H19" s="21">
        <f>'Q.1.i'!F19</f>
        <v>1000</v>
      </c>
      <c r="I19" s="5">
        <f>'Q.1.i'!H19</f>
        <v>495</v>
      </c>
      <c r="J19" s="5">
        <f>'Q.1.i'!K19</f>
        <v>1000</v>
      </c>
      <c r="K19" s="5">
        <v>0</v>
      </c>
      <c r="L19" s="5">
        <f>'Q.1.input'!$K$5</f>
        <v>3000</v>
      </c>
      <c r="M19" s="27">
        <f t="shared" si="2"/>
        <v>1000</v>
      </c>
      <c r="N19" s="29">
        <f>(SUM(H19:J19)-SUM(K19:M19))*'Q.1.input'!$N$5</f>
        <v>-90.3</v>
      </c>
      <c r="O19" s="7">
        <f>'Q.1.i'!O19</f>
        <v>10989.136777424619</v>
      </c>
      <c r="P19" s="7">
        <f>MAX($B$2-'Q.1.i'!P19,0)</f>
        <v>0</v>
      </c>
      <c r="Q19" s="30">
        <f t="shared" si="0"/>
        <v>0</v>
      </c>
      <c r="R19" s="29">
        <f t="shared" si="3"/>
        <v>9393.836777424618</v>
      </c>
      <c r="S19" s="7">
        <f t="shared" si="4"/>
        <v>6723.4135204871691</v>
      </c>
      <c r="T19" s="34">
        <f>(1+'Q.1.input'!$G$27)^-C19</f>
        <v>0.23070588779554044</v>
      </c>
      <c r="U19" s="30">
        <f t="shared" si="5"/>
        <v>1551.1310852605322</v>
      </c>
    </row>
    <row r="20" spans="3:21" x14ac:dyDescent="0.35">
      <c r="C20" s="21">
        <f>'Q.1.i'!C20</f>
        <v>13</v>
      </c>
      <c r="D20" s="5">
        <f>'Q.1.i'!D20</f>
        <v>52</v>
      </c>
      <c r="E20" s="14">
        <f t="shared" si="1"/>
        <v>0.70561857919316961</v>
      </c>
      <c r="F20" s="5">
        <f>VLOOKUP(D20,'Q.1.input'!$B$5:$C$46,2,FALSE)*80%</f>
        <v>4.5821729999999993E-3</v>
      </c>
      <c r="G20" s="22">
        <f>'Q.1.input'!K21</f>
        <v>0.01</v>
      </c>
      <c r="H20" s="21">
        <f>'Q.1.i'!F20</f>
        <v>1000</v>
      </c>
      <c r="I20" s="5">
        <f>'Q.1.i'!H20</f>
        <v>495</v>
      </c>
      <c r="J20" s="5">
        <f>'Q.1.i'!K20</f>
        <v>1000</v>
      </c>
      <c r="K20" s="5">
        <v>0</v>
      </c>
      <c r="L20" s="5">
        <f>'Q.1.input'!$K$5</f>
        <v>3000</v>
      </c>
      <c r="M20" s="27">
        <f t="shared" si="2"/>
        <v>1000</v>
      </c>
      <c r="N20" s="29">
        <f>(SUM(H20:J20)-SUM(K20:M20))*'Q.1.input'!$N$5</f>
        <v>-90.3</v>
      </c>
      <c r="O20" s="7">
        <f>'Q.1.i'!O20</f>
        <v>12563.887702891245</v>
      </c>
      <c r="P20" s="7">
        <f>MAX($B$2-'Q.1.i'!P20,0)</f>
        <v>0</v>
      </c>
      <c r="Q20" s="30">
        <f t="shared" si="0"/>
        <v>0</v>
      </c>
      <c r="R20" s="29">
        <f t="shared" si="3"/>
        <v>10968.587702891244</v>
      </c>
      <c r="S20" s="7">
        <f t="shared" si="4"/>
        <v>7739.6392706697916</v>
      </c>
      <c r="T20" s="34">
        <f>(1+'Q.1.input'!$G$27)^-C20</f>
        <v>0.20416450247392959</v>
      </c>
      <c r="U20" s="30">
        <f t="shared" si="5"/>
        <v>1580.1596010239853</v>
      </c>
    </row>
    <row r="21" spans="3:21" x14ac:dyDescent="0.35">
      <c r="C21" s="21">
        <f>'Q.1.i'!C21</f>
        <v>14</v>
      </c>
      <c r="D21" s="5">
        <f>'Q.1.i'!D21</f>
        <v>53</v>
      </c>
      <c r="E21" s="14">
        <f t="shared" si="1"/>
        <v>0.69536145966337937</v>
      </c>
      <c r="F21" s="5">
        <f>VLOOKUP(D21,'Q.1.input'!$B$5:$C$46,2,FALSE)*80%</f>
        <v>5.0171780000000006E-3</v>
      </c>
      <c r="G21" s="22">
        <f>'Q.1.input'!K22</f>
        <v>0.01</v>
      </c>
      <c r="H21" s="21">
        <f>'Q.1.i'!F21</f>
        <v>1000</v>
      </c>
      <c r="I21" s="5">
        <f>'Q.1.i'!H21</f>
        <v>495</v>
      </c>
      <c r="J21" s="5">
        <f>'Q.1.i'!K21</f>
        <v>1000</v>
      </c>
      <c r="K21" s="5">
        <v>0</v>
      </c>
      <c r="L21" s="5">
        <f>'Q.1.input'!$K$5</f>
        <v>3000</v>
      </c>
      <c r="M21" s="27">
        <f t="shared" si="2"/>
        <v>1000</v>
      </c>
      <c r="N21" s="29">
        <f>(SUM(H21:J21)-SUM(K21:M21))*'Q.1.input'!$N$5</f>
        <v>-90.3</v>
      </c>
      <c r="O21" s="7">
        <f>'Q.1.i'!O21</f>
        <v>14287.452590814468</v>
      </c>
      <c r="P21" s="7">
        <f>MAX($B$2-'Q.1.i'!P21,0)</f>
        <v>0</v>
      </c>
      <c r="Q21" s="30">
        <f t="shared" si="0"/>
        <v>0</v>
      </c>
      <c r="R21" s="29">
        <f t="shared" si="3"/>
        <v>12692.152590814469</v>
      </c>
      <c r="S21" s="7">
        <f t="shared" si="4"/>
        <v>8825.6337518190903</v>
      </c>
      <c r="T21" s="34">
        <f>(1+'Q.1.input'!$G$27)^-C21</f>
        <v>0.18067655086188467</v>
      </c>
      <c r="U21" s="30">
        <f t="shared" si="5"/>
        <v>1594.5850654489079</v>
      </c>
    </row>
    <row r="22" spans="3:21" ht="15" thickBot="1" x14ac:dyDescent="0.4">
      <c r="C22" s="23">
        <f>'Q.1.i'!C22</f>
        <v>15</v>
      </c>
      <c r="D22" s="24">
        <f>'Q.1.i'!D22</f>
        <v>54</v>
      </c>
      <c r="E22" s="25">
        <f t="shared" si="1"/>
        <v>0.68495398037144928</v>
      </c>
      <c r="F22" s="24">
        <f>VLOOKUP(D22,'Q.1.input'!$B$5:$C$46,2,FALSE)*80%</f>
        <v>5.4668034999999999E-3</v>
      </c>
      <c r="G22" s="26">
        <f>'Q.1.input'!K23</f>
        <v>0.01</v>
      </c>
      <c r="H22" s="23">
        <f>'Q.1.i'!F22</f>
        <v>1000</v>
      </c>
      <c r="I22" s="24">
        <f>'Q.1.i'!H22</f>
        <v>495</v>
      </c>
      <c r="J22" s="24">
        <f>'Q.1.i'!K22</f>
        <v>1000</v>
      </c>
      <c r="K22" s="24">
        <v>0</v>
      </c>
      <c r="L22" s="24">
        <f>'Q.1.input'!$K$5</f>
        <v>3000</v>
      </c>
      <c r="M22" s="28">
        <f t="shared" si="2"/>
        <v>1000</v>
      </c>
      <c r="N22" s="31">
        <f>(SUM(H22:J22)-SUM(K22:M22))*'Q.1.input'!$N$5</f>
        <v>-90.3</v>
      </c>
      <c r="O22" s="32">
        <f>'Q.1.i'!O22</f>
        <v>16173.894360646436</v>
      </c>
      <c r="P22" s="32">
        <f>MAX($B$2-'Q.1.i'!P22,0)</f>
        <v>0</v>
      </c>
      <c r="Q22" s="33">
        <f t="shared" si="0"/>
        <v>0</v>
      </c>
      <c r="R22" s="31">
        <f t="shared" si="3"/>
        <v>14578.594360646435</v>
      </c>
      <c r="S22" s="32">
        <f t="shared" si="4"/>
        <v>9985.6662355455392</v>
      </c>
      <c r="T22" s="35">
        <f>(1+'Q.1.input'!$G$27)^-C22</f>
        <v>0.15989075297511918</v>
      </c>
      <c r="U22" s="33">
        <f t="shared" si="5"/>
        <v>1596.6156933596001</v>
      </c>
    </row>
    <row r="25" spans="3:21" x14ac:dyDescent="0.35">
      <c r="P25" s="96"/>
    </row>
    <row r="26" spans="3:21" x14ac:dyDescent="0.35">
      <c r="P26" s="104"/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CC19-B4DA-4762-8E3C-F7627AD754FD}">
  <dimension ref="A1:T27"/>
  <sheetViews>
    <sheetView showGridLines="0" zoomScaleNormal="100" workbookViewId="0"/>
  </sheetViews>
  <sheetFormatPr defaultRowHeight="14.5" x14ac:dyDescent="0.35"/>
  <cols>
    <col min="1" max="1" width="11.1796875" bestFit="1" customWidth="1"/>
    <col min="2" max="2" width="9.81640625" bestFit="1" customWidth="1"/>
    <col min="5" max="5" width="11.1796875" bestFit="1" customWidth="1"/>
    <col min="6" max="6" width="9.6328125" customWidth="1"/>
    <col min="7" max="7" width="9" bestFit="1" customWidth="1"/>
    <col min="8" max="8" width="8.81640625" bestFit="1" customWidth="1"/>
    <col min="9" max="9" width="9.6328125" bestFit="1" customWidth="1"/>
    <col min="10" max="10" width="11.1796875" bestFit="1" customWidth="1"/>
    <col min="11" max="11" width="8.81640625" bestFit="1" customWidth="1"/>
    <col min="12" max="12" width="11.1796875" bestFit="1" customWidth="1"/>
    <col min="13" max="13" width="9.6328125" bestFit="1" customWidth="1"/>
    <col min="14" max="14" width="11.1796875" bestFit="1" customWidth="1"/>
    <col min="15" max="15" width="7.90625" bestFit="1" customWidth="1"/>
    <col min="16" max="16" width="11.1796875" bestFit="1" customWidth="1"/>
    <col min="17" max="17" width="13.36328125" customWidth="1"/>
    <col min="18" max="18" width="12.36328125" customWidth="1"/>
    <col min="19" max="19" width="12.1796875" bestFit="1" customWidth="1"/>
  </cols>
  <sheetData>
    <row r="1" spans="1:20" x14ac:dyDescent="0.35">
      <c r="A1" s="5" t="s">
        <v>13</v>
      </c>
      <c r="B1" s="7">
        <v>100000</v>
      </c>
    </row>
    <row r="2" spans="1:20" x14ac:dyDescent="0.35">
      <c r="A2" s="5" t="s">
        <v>14</v>
      </c>
      <c r="B2" s="7">
        <v>1500000</v>
      </c>
    </row>
    <row r="3" spans="1:20" x14ac:dyDescent="0.35">
      <c r="A3" s="5" t="s">
        <v>15</v>
      </c>
      <c r="B3" s="5">
        <v>40</v>
      </c>
    </row>
    <row r="5" spans="1:20" x14ac:dyDescent="0.35">
      <c r="J5" s="96"/>
      <c r="K5" s="96"/>
      <c r="L5" s="96"/>
      <c r="M5" s="96"/>
      <c r="N5" s="96"/>
      <c r="O5" s="96"/>
      <c r="P5" s="96"/>
      <c r="Q5" s="96"/>
      <c r="R5" s="96"/>
      <c r="S5" s="96"/>
    </row>
    <row r="6" spans="1:20" ht="72.5" x14ac:dyDescent="0.35">
      <c r="C6" s="10" t="s">
        <v>3</v>
      </c>
      <c r="D6" s="2" t="s">
        <v>1</v>
      </c>
      <c r="E6" s="10" t="s">
        <v>13</v>
      </c>
      <c r="F6" s="10" t="s">
        <v>4</v>
      </c>
      <c r="G6" s="10" t="s">
        <v>16</v>
      </c>
      <c r="H6" s="10" t="s">
        <v>7</v>
      </c>
      <c r="I6" s="10" t="s">
        <v>17</v>
      </c>
      <c r="J6" s="10" t="s">
        <v>19</v>
      </c>
      <c r="K6" s="10" t="s">
        <v>18</v>
      </c>
      <c r="L6" s="10" t="s">
        <v>20</v>
      </c>
      <c r="M6" s="10" t="s">
        <v>21</v>
      </c>
      <c r="N6" s="10" t="s">
        <v>22</v>
      </c>
      <c r="O6" s="10" t="s">
        <v>23</v>
      </c>
      <c r="P6" s="10" t="s">
        <v>44</v>
      </c>
      <c r="Q6" s="10" t="s">
        <v>42</v>
      </c>
      <c r="R6" s="10" t="s">
        <v>43</v>
      </c>
      <c r="S6" s="10" t="s">
        <v>45</v>
      </c>
    </row>
    <row r="7" spans="1:20" x14ac:dyDescent="0.35">
      <c r="C7" s="10"/>
      <c r="D7" s="2"/>
      <c r="E7" s="10"/>
      <c r="F7" s="10"/>
      <c r="G7" s="10"/>
      <c r="H7" s="10"/>
      <c r="I7" s="10"/>
      <c r="J7" s="83"/>
      <c r="K7" s="83"/>
      <c r="L7" s="83"/>
      <c r="M7" s="83"/>
      <c r="N7" s="83"/>
      <c r="O7" s="83"/>
      <c r="P7" s="83"/>
    </row>
    <row r="8" spans="1:20" x14ac:dyDescent="0.35">
      <c r="C8" s="5">
        <v>1</v>
      </c>
      <c r="D8" s="11">
        <f>$B$3</f>
        <v>40</v>
      </c>
      <c r="E8" s="7">
        <f>$B$1</f>
        <v>100000</v>
      </c>
      <c r="F8" s="7">
        <f>VLOOKUP(C8,'Q.1.input'!$F$4:$G$19,2,FALSE)*E8</f>
        <v>5000</v>
      </c>
      <c r="G8" s="7">
        <f>E8-F8</f>
        <v>95000</v>
      </c>
      <c r="H8" s="7">
        <f>G8*0.5%</f>
        <v>475</v>
      </c>
      <c r="I8" s="7">
        <f>G8-H8</f>
        <v>94525</v>
      </c>
      <c r="J8" s="7">
        <f>S7+I8</f>
        <v>94525</v>
      </c>
      <c r="K8" s="7">
        <f>'Q.1.input'!$G$23</f>
        <v>1000</v>
      </c>
      <c r="L8" s="7">
        <f>J8-K8</f>
        <v>93525</v>
      </c>
      <c r="M8" s="7">
        <f>L8*'Q.1.input'!$N$4</f>
        <v>9352.5</v>
      </c>
      <c r="N8" s="7">
        <f>L8+M8</f>
        <v>102877.5</v>
      </c>
      <c r="O8" s="7">
        <f>N8*'Q.1.input'!$G$24</f>
        <v>514.38750000000005</v>
      </c>
      <c r="P8" s="7">
        <f>N8-O8</f>
        <v>102363.1125</v>
      </c>
      <c r="Q8" s="37">
        <f>MAX($B$2-P8,0)</f>
        <v>1397636.8875</v>
      </c>
      <c r="R8" s="14">
        <f>Q8*VLOOKUP(D8,'Q.1.input'!$B$4:$C$46,2,FALSE)*90%</f>
        <v>2135.0848792405286</v>
      </c>
      <c r="S8" s="7">
        <f>P8-R8</f>
        <v>100228.02762075947</v>
      </c>
      <c r="T8" s="12"/>
    </row>
    <row r="9" spans="1:20" x14ac:dyDescent="0.35">
      <c r="C9" s="5">
        <f>C8+1</f>
        <v>2</v>
      </c>
      <c r="D9" s="5">
        <f>D8+1</f>
        <v>41</v>
      </c>
      <c r="E9" s="7">
        <f t="shared" ref="E9:E22" si="0">$B$1</f>
        <v>100000</v>
      </c>
      <c r="F9" s="7">
        <f>VLOOKUP(C9,'Q.1.input'!$F$4:$G$19,2,FALSE)*E9</f>
        <v>2000</v>
      </c>
      <c r="G9" s="7">
        <f t="shared" ref="G9:G22" si="1">E9-F9</f>
        <v>98000</v>
      </c>
      <c r="H9" s="7">
        <f t="shared" ref="H9:H22" si="2">G9*0.5%</f>
        <v>490</v>
      </c>
      <c r="I9" s="7">
        <f t="shared" ref="I9:I22" si="3">G9-H9</f>
        <v>97510</v>
      </c>
      <c r="J9" s="7">
        <f>S8+I9</f>
        <v>197738.02762075947</v>
      </c>
      <c r="K9" s="7">
        <f>'Q.1.input'!$G$23</f>
        <v>1000</v>
      </c>
      <c r="L9" s="7">
        <f t="shared" ref="L9:L22" si="4">J9-K9</f>
        <v>196738.02762075947</v>
      </c>
      <c r="M9" s="7">
        <f>L9*'Q.1.input'!$N$4</f>
        <v>19673.802762075949</v>
      </c>
      <c r="N9" s="7">
        <f t="shared" ref="N9:N22" si="5">L9+M9</f>
        <v>216411.83038283541</v>
      </c>
      <c r="O9" s="7">
        <f>N9*'Q.1.input'!$G$24</f>
        <v>1082.0591519141772</v>
      </c>
      <c r="P9" s="7">
        <f t="shared" ref="P9:P22" si="6">N9-O9</f>
        <v>215329.77123092124</v>
      </c>
      <c r="Q9" s="37">
        <f t="shared" ref="Q9:Q22" si="7">MAX($B$2-P9,0)</f>
        <v>1284670.2287690789</v>
      </c>
      <c r="R9" s="14">
        <f>Q9*VLOOKUP(D9,'Q.1.input'!$B$4:$C$46,2,FALSE)*90%</f>
        <v>2138.5987196045935</v>
      </c>
      <c r="S9" s="7">
        <f t="shared" ref="S9:S22" si="8">P9-R9</f>
        <v>213191.17251131663</v>
      </c>
      <c r="T9" s="12"/>
    </row>
    <row r="10" spans="1:20" x14ac:dyDescent="0.35">
      <c r="C10" s="5">
        <f t="shared" ref="C10:D22" si="9">C9+1</f>
        <v>3</v>
      </c>
      <c r="D10" s="5">
        <f t="shared" si="9"/>
        <v>42</v>
      </c>
      <c r="E10" s="7">
        <f t="shared" si="0"/>
        <v>100000</v>
      </c>
      <c r="F10" s="7">
        <f>VLOOKUP(C10,'Q.1.input'!$F$4:$G$19,2,FALSE)*E10</f>
        <v>2000</v>
      </c>
      <c r="G10" s="7">
        <f t="shared" si="1"/>
        <v>98000</v>
      </c>
      <c r="H10" s="7">
        <f t="shared" si="2"/>
        <v>490</v>
      </c>
      <c r="I10" s="7">
        <f t="shared" si="3"/>
        <v>97510</v>
      </c>
      <c r="J10" s="7">
        <f t="shared" ref="J10:J22" si="10">S9+I10</f>
        <v>310701.1725113166</v>
      </c>
      <c r="K10" s="7">
        <f>'Q.1.input'!$G$23</f>
        <v>1000</v>
      </c>
      <c r="L10" s="7">
        <f t="shared" si="4"/>
        <v>309701.1725113166</v>
      </c>
      <c r="M10" s="7">
        <f>L10*'Q.1.input'!$N$4</f>
        <v>30970.117251131662</v>
      </c>
      <c r="N10" s="7">
        <f t="shared" si="5"/>
        <v>340671.28976244829</v>
      </c>
      <c r="O10" s="7">
        <f>N10*'Q.1.input'!$G$24</f>
        <v>1703.3564488122415</v>
      </c>
      <c r="P10" s="7">
        <f t="shared" si="6"/>
        <v>338967.93331363605</v>
      </c>
      <c r="Q10" s="37">
        <f>MAX($B$2-P10,0)</f>
        <v>1161032.0666863639</v>
      </c>
      <c r="R10" s="14">
        <f>Q10*VLOOKUP(D10,'Q.1.input'!$B$4:$C$46,2,FALSE)*90%</f>
        <v>2116.9076628186258</v>
      </c>
      <c r="S10" s="7">
        <f t="shared" si="8"/>
        <v>336851.02565081744</v>
      </c>
      <c r="T10" s="12"/>
    </row>
    <row r="11" spans="1:20" x14ac:dyDescent="0.35">
      <c r="C11" s="5">
        <f t="shared" si="9"/>
        <v>4</v>
      </c>
      <c r="D11" s="5">
        <f t="shared" si="9"/>
        <v>43</v>
      </c>
      <c r="E11" s="7">
        <f t="shared" si="0"/>
        <v>100000</v>
      </c>
      <c r="F11" s="7">
        <f>VLOOKUP(C11,'Q.1.input'!$F$4:$G$19,2,FALSE)*E11</f>
        <v>2000</v>
      </c>
      <c r="G11" s="7">
        <f t="shared" si="1"/>
        <v>98000</v>
      </c>
      <c r="H11" s="7">
        <f t="shared" si="2"/>
        <v>490</v>
      </c>
      <c r="I11" s="7">
        <f t="shared" si="3"/>
        <v>97510</v>
      </c>
      <c r="J11" s="7">
        <f t="shared" si="10"/>
        <v>434361.02565081744</v>
      </c>
      <c r="K11" s="7">
        <f>'Q.1.input'!$G$23</f>
        <v>1000</v>
      </c>
      <c r="L11" s="7">
        <f t="shared" si="4"/>
        <v>433361.02565081744</v>
      </c>
      <c r="M11" s="7">
        <f>L11*'Q.1.input'!$N$4</f>
        <v>43336.102565081746</v>
      </c>
      <c r="N11" s="7">
        <f t="shared" si="5"/>
        <v>476697.12821589917</v>
      </c>
      <c r="O11" s="7">
        <f>N11*'Q.1.input'!$G$24</f>
        <v>2383.485641079496</v>
      </c>
      <c r="P11" s="7">
        <f t="shared" si="6"/>
        <v>474313.64257481968</v>
      </c>
      <c r="Q11" s="37">
        <f t="shared" si="7"/>
        <v>1025686.3574251803</v>
      </c>
      <c r="R11" s="14">
        <f>Q11*VLOOKUP(D11,'Q.1.input'!$B$4:$C$46,2,FALSE)*90%</f>
        <v>2058.624060975767</v>
      </c>
      <c r="S11" s="7">
        <f t="shared" si="8"/>
        <v>472255.01851384388</v>
      </c>
      <c r="T11" s="12"/>
    </row>
    <row r="12" spans="1:20" x14ac:dyDescent="0.35">
      <c r="C12" s="5">
        <f t="shared" si="9"/>
        <v>5</v>
      </c>
      <c r="D12" s="5">
        <f t="shared" si="9"/>
        <v>44</v>
      </c>
      <c r="E12" s="7">
        <f t="shared" si="0"/>
        <v>100000</v>
      </c>
      <c r="F12" s="7">
        <f>VLOOKUP(C12,'Q.1.input'!$F$4:$G$19,2,FALSE)*E12</f>
        <v>2000</v>
      </c>
      <c r="G12" s="7">
        <f t="shared" si="1"/>
        <v>98000</v>
      </c>
      <c r="H12" s="7">
        <f t="shared" si="2"/>
        <v>490</v>
      </c>
      <c r="I12" s="7">
        <f t="shared" si="3"/>
        <v>97510</v>
      </c>
      <c r="J12" s="7">
        <f t="shared" si="10"/>
        <v>569765.01851384388</v>
      </c>
      <c r="K12" s="7">
        <f>'Q.1.input'!$G$23</f>
        <v>1000</v>
      </c>
      <c r="L12" s="7">
        <f t="shared" si="4"/>
        <v>568765.01851384388</v>
      </c>
      <c r="M12" s="7">
        <f>L12*'Q.1.input'!$N$4</f>
        <v>56876.50185138439</v>
      </c>
      <c r="N12" s="7">
        <f t="shared" si="5"/>
        <v>625641.52036522829</v>
      </c>
      <c r="O12" s="7">
        <f>N12*'Q.1.input'!$G$24</f>
        <v>3128.2076018261414</v>
      </c>
      <c r="P12" s="7">
        <f t="shared" si="6"/>
        <v>622513.31276340212</v>
      </c>
      <c r="Q12" s="37">
        <f t="shared" si="7"/>
        <v>877486.68723659788</v>
      </c>
      <c r="R12" s="14">
        <f>Q12*VLOOKUP(D12,'Q.1.input'!$B$4:$C$46,2,FALSE)*90%</f>
        <v>1947.9144891477636</v>
      </c>
      <c r="S12" s="7">
        <f t="shared" si="8"/>
        <v>620565.3982742544</v>
      </c>
      <c r="T12" s="12"/>
    </row>
    <row r="13" spans="1:20" x14ac:dyDescent="0.35">
      <c r="C13" s="5">
        <f t="shared" si="9"/>
        <v>6</v>
      </c>
      <c r="D13" s="5">
        <f t="shared" si="9"/>
        <v>45</v>
      </c>
      <c r="E13" s="7">
        <f t="shared" si="0"/>
        <v>100000</v>
      </c>
      <c r="F13" s="7">
        <f>VLOOKUP(C13,'Q.1.input'!$F$4:$G$19,2,FALSE)*E13</f>
        <v>1000</v>
      </c>
      <c r="G13" s="7">
        <f t="shared" si="1"/>
        <v>99000</v>
      </c>
      <c r="H13" s="7">
        <f t="shared" si="2"/>
        <v>495</v>
      </c>
      <c r="I13" s="7">
        <f t="shared" si="3"/>
        <v>98505</v>
      </c>
      <c r="J13" s="7">
        <f t="shared" si="10"/>
        <v>719070.3982742544</v>
      </c>
      <c r="K13" s="7">
        <f>'Q.1.input'!$G$23</f>
        <v>1000</v>
      </c>
      <c r="L13" s="7">
        <f t="shared" si="4"/>
        <v>718070.3982742544</v>
      </c>
      <c r="M13" s="7">
        <f>L13*'Q.1.input'!$N$4</f>
        <v>71807.03982742544</v>
      </c>
      <c r="N13" s="7">
        <f t="shared" si="5"/>
        <v>789877.43810167979</v>
      </c>
      <c r="O13" s="7">
        <f>N13*'Q.1.input'!$G$24</f>
        <v>3949.3871905083988</v>
      </c>
      <c r="P13" s="7">
        <f t="shared" si="6"/>
        <v>785928.05091117136</v>
      </c>
      <c r="Q13" s="37">
        <f t="shared" si="7"/>
        <v>714071.94908882864</v>
      </c>
      <c r="R13" s="14">
        <f>Q13*VLOOKUP(D13,'Q.1.input'!$B$4:$C$46,2,FALSE)*90%</f>
        <v>1760.4599961000238</v>
      </c>
      <c r="S13" s="7">
        <f t="shared" si="8"/>
        <v>784167.59091507131</v>
      </c>
      <c r="T13" s="12"/>
    </row>
    <row r="14" spans="1:20" x14ac:dyDescent="0.35">
      <c r="C14" s="5">
        <f t="shared" si="9"/>
        <v>7</v>
      </c>
      <c r="D14" s="5">
        <f t="shared" si="9"/>
        <v>46</v>
      </c>
      <c r="E14" s="7">
        <f t="shared" si="0"/>
        <v>100000</v>
      </c>
      <c r="F14" s="7">
        <f>VLOOKUP(C14,'Q.1.input'!$F$4:$G$19,2,FALSE)*E14</f>
        <v>1000</v>
      </c>
      <c r="G14" s="7">
        <f t="shared" si="1"/>
        <v>99000</v>
      </c>
      <c r="H14" s="7">
        <f t="shared" si="2"/>
        <v>495</v>
      </c>
      <c r="I14" s="7">
        <f t="shared" si="3"/>
        <v>98505</v>
      </c>
      <c r="J14" s="7">
        <f t="shared" si="10"/>
        <v>882672.59091507131</v>
      </c>
      <c r="K14" s="7">
        <f>'Q.1.input'!$G$23</f>
        <v>1000</v>
      </c>
      <c r="L14" s="7">
        <f t="shared" si="4"/>
        <v>881672.59091507131</v>
      </c>
      <c r="M14" s="7">
        <f>L14*'Q.1.input'!$N$4</f>
        <v>88167.259091507134</v>
      </c>
      <c r="N14" s="7">
        <f t="shared" si="5"/>
        <v>969839.85000657849</v>
      </c>
      <c r="O14" s="7">
        <f>N14*'Q.1.input'!$G$24</f>
        <v>4849.1992500328925</v>
      </c>
      <c r="P14" s="7">
        <f t="shared" si="6"/>
        <v>964990.6507565456</v>
      </c>
      <c r="Q14" s="37">
        <f t="shared" si="7"/>
        <v>535009.3492434544</v>
      </c>
      <c r="R14" s="14">
        <f>Q14*VLOOKUP(D14,'Q.1.input'!$B$4:$C$46,2,FALSE)*90%</f>
        <v>1469.577824811591</v>
      </c>
      <c r="S14" s="7">
        <f t="shared" si="8"/>
        <v>963521.07293173403</v>
      </c>
      <c r="T14" s="12"/>
    </row>
    <row r="15" spans="1:20" x14ac:dyDescent="0.35">
      <c r="C15" s="5">
        <f t="shared" si="9"/>
        <v>8</v>
      </c>
      <c r="D15" s="5">
        <f t="shared" si="9"/>
        <v>47</v>
      </c>
      <c r="E15" s="7">
        <f t="shared" si="0"/>
        <v>100000</v>
      </c>
      <c r="F15" s="7">
        <f>VLOOKUP(C15,'Q.1.input'!$F$4:$G$19,2,FALSE)*E15</f>
        <v>1000</v>
      </c>
      <c r="G15" s="7">
        <f t="shared" si="1"/>
        <v>99000</v>
      </c>
      <c r="H15" s="7">
        <f t="shared" si="2"/>
        <v>495</v>
      </c>
      <c r="I15" s="7">
        <f t="shared" si="3"/>
        <v>98505</v>
      </c>
      <c r="J15" s="7">
        <f t="shared" si="10"/>
        <v>1062026.0729317339</v>
      </c>
      <c r="K15" s="7">
        <f>'Q.1.input'!$G$23</f>
        <v>1000</v>
      </c>
      <c r="L15" s="7">
        <f t="shared" si="4"/>
        <v>1061026.0729317339</v>
      </c>
      <c r="M15" s="7">
        <f>L15*'Q.1.input'!$N$4</f>
        <v>106102.60729317339</v>
      </c>
      <c r="N15" s="7">
        <f t="shared" si="5"/>
        <v>1167128.6802249074</v>
      </c>
      <c r="O15" s="7">
        <f>N15*'Q.1.input'!$G$24</f>
        <v>5835.6434011245365</v>
      </c>
      <c r="P15" s="7">
        <f t="shared" si="6"/>
        <v>1161293.0368237828</v>
      </c>
      <c r="Q15" s="37">
        <f t="shared" si="7"/>
        <v>338706.96317621716</v>
      </c>
      <c r="R15" s="14">
        <f>Q15*VLOOKUP(D15,'Q.1.input'!$B$4:$C$46,2,FALSE)*90%</f>
        <v>1038.4205515551359</v>
      </c>
      <c r="S15" s="7">
        <f t="shared" si="8"/>
        <v>1160254.6162722276</v>
      </c>
      <c r="T15" s="12"/>
    </row>
    <row r="16" spans="1:20" x14ac:dyDescent="0.35">
      <c r="C16" s="5">
        <f t="shared" si="9"/>
        <v>9</v>
      </c>
      <c r="D16" s="5">
        <f t="shared" si="9"/>
        <v>48</v>
      </c>
      <c r="E16" s="7">
        <f t="shared" si="0"/>
        <v>100000</v>
      </c>
      <c r="F16" s="7">
        <f>VLOOKUP(C16,'Q.1.input'!$F$4:$G$19,2,FALSE)*E16</f>
        <v>1000</v>
      </c>
      <c r="G16" s="7">
        <f t="shared" si="1"/>
        <v>99000</v>
      </c>
      <c r="H16" s="7">
        <f t="shared" si="2"/>
        <v>495</v>
      </c>
      <c r="I16" s="7">
        <f t="shared" si="3"/>
        <v>98505</v>
      </c>
      <c r="J16" s="7">
        <f t="shared" si="10"/>
        <v>1258759.6162722276</v>
      </c>
      <c r="K16" s="7">
        <f>'Q.1.input'!$G$23</f>
        <v>1000</v>
      </c>
      <c r="L16" s="7">
        <f t="shared" si="4"/>
        <v>1257759.6162722276</v>
      </c>
      <c r="M16" s="7">
        <f>L16*'Q.1.input'!$N$4</f>
        <v>125775.96162722277</v>
      </c>
      <c r="N16" s="7">
        <f t="shared" si="5"/>
        <v>1383535.5778994504</v>
      </c>
      <c r="O16" s="7">
        <f>N16*'Q.1.input'!$G$24</f>
        <v>6917.6778894972522</v>
      </c>
      <c r="P16" s="7">
        <f t="shared" si="6"/>
        <v>1376617.9000099532</v>
      </c>
      <c r="Q16" s="37">
        <f t="shared" si="7"/>
        <v>123382.09999004682</v>
      </c>
      <c r="R16" s="14">
        <f>Q16*VLOOKUP(D16,'Q.1.input'!$B$4:$C$46,2,FALSE)*90%</f>
        <v>422.21468745036498</v>
      </c>
      <c r="S16" s="7">
        <f t="shared" si="8"/>
        <v>1376195.6853225029</v>
      </c>
      <c r="T16" s="12"/>
    </row>
    <row r="17" spans="3:19" x14ac:dyDescent="0.35">
      <c r="C17" s="5">
        <f t="shared" si="9"/>
        <v>10</v>
      </c>
      <c r="D17" s="5">
        <f t="shared" si="9"/>
        <v>49</v>
      </c>
      <c r="E17" s="7">
        <f t="shared" si="0"/>
        <v>100000</v>
      </c>
      <c r="F17" s="7">
        <f>VLOOKUP(C17,'Q.1.input'!$F$4:$G$19,2,FALSE)*E17</f>
        <v>1000</v>
      </c>
      <c r="G17" s="7">
        <f t="shared" si="1"/>
        <v>99000</v>
      </c>
      <c r="H17" s="7">
        <f t="shared" si="2"/>
        <v>495</v>
      </c>
      <c r="I17" s="7">
        <f t="shared" si="3"/>
        <v>98505</v>
      </c>
      <c r="J17" s="7">
        <f t="shared" si="10"/>
        <v>1474700.6853225029</v>
      </c>
      <c r="K17" s="7">
        <f>'Q.1.input'!$G$23</f>
        <v>1000</v>
      </c>
      <c r="L17" s="7">
        <f t="shared" si="4"/>
        <v>1473700.6853225029</v>
      </c>
      <c r="M17" s="7">
        <f>L17*'Q.1.input'!$N$4</f>
        <v>147370.0685322503</v>
      </c>
      <c r="N17" s="7">
        <f t="shared" si="5"/>
        <v>1621070.7538547532</v>
      </c>
      <c r="O17" s="7">
        <f>N17*'Q.1.input'!$G$24</f>
        <v>8105.3537692737664</v>
      </c>
      <c r="P17" s="7">
        <f t="shared" si="6"/>
        <v>1612965.4000854795</v>
      </c>
      <c r="Q17" s="37">
        <f t="shared" si="7"/>
        <v>0</v>
      </c>
      <c r="R17" s="14">
        <f>Q17*VLOOKUP(D17,'Q.1.input'!$B$4:$C$46,2,FALSE)*90%</f>
        <v>0</v>
      </c>
      <c r="S17" s="7">
        <f t="shared" si="8"/>
        <v>1612965.4000854795</v>
      </c>
    </row>
    <row r="18" spans="3:19" x14ac:dyDescent="0.35">
      <c r="C18" s="5">
        <f t="shared" si="9"/>
        <v>11</v>
      </c>
      <c r="D18" s="5">
        <f t="shared" si="9"/>
        <v>50</v>
      </c>
      <c r="E18" s="7">
        <f t="shared" si="0"/>
        <v>100000</v>
      </c>
      <c r="F18" s="7">
        <f>VLOOKUP(C18,'Q.1.input'!$F$4:$G$19,2,FALSE)*E18</f>
        <v>1000</v>
      </c>
      <c r="G18" s="7">
        <f t="shared" si="1"/>
        <v>99000</v>
      </c>
      <c r="H18" s="7">
        <f t="shared" si="2"/>
        <v>495</v>
      </c>
      <c r="I18" s="7">
        <f t="shared" si="3"/>
        <v>98505</v>
      </c>
      <c r="J18" s="7">
        <f t="shared" si="10"/>
        <v>1711470.4000854795</v>
      </c>
      <c r="K18" s="7">
        <f>'Q.1.input'!$G$23</f>
        <v>1000</v>
      </c>
      <c r="L18" s="7">
        <f t="shared" si="4"/>
        <v>1710470.4000854795</v>
      </c>
      <c r="M18" s="7">
        <f>L18*'Q.1.input'!$N$4</f>
        <v>171047.04000854795</v>
      </c>
      <c r="N18" s="7">
        <f t="shared" si="5"/>
        <v>1881517.4400940274</v>
      </c>
      <c r="O18" s="7">
        <f>N18*'Q.1.input'!$G$24</f>
        <v>9407.5872004701378</v>
      </c>
      <c r="P18" s="7">
        <f t="shared" si="6"/>
        <v>1872109.8528935574</v>
      </c>
      <c r="Q18" s="37">
        <f t="shared" si="7"/>
        <v>0</v>
      </c>
      <c r="R18" s="14">
        <f>Q18*VLOOKUP(D18,'Q.1.input'!$B$4:$C$46,2,FALSE)*90%</f>
        <v>0</v>
      </c>
      <c r="S18" s="7">
        <f t="shared" si="8"/>
        <v>1872109.8528935574</v>
      </c>
    </row>
    <row r="19" spans="3:19" x14ac:dyDescent="0.35">
      <c r="C19" s="5">
        <f t="shared" si="9"/>
        <v>12</v>
      </c>
      <c r="D19" s="5">
        <f t="shared" si="9"/>
        <v>51</v>
      </c>
      <c r="E19" s="7">
        <f t="shared" si="0"/>
        <v>100000</v>
      </c>
      <c r="F19" s="7">
        <f>VLOOKUP(C19,'Q.1.input'!$F$4:$G$19,2,FALSE)*E19</f>
        <v>1000</v>
      </c>
      <c r="G19" s="7">
        <f t="shared" si="1"/>
        <v>99000</v>
      </c>
      <c r="H19" s="7">
        <f t="shared" si="2"/>
        <v>495</v>
      </c>
      <c r="I19" s="7">
        <f t="shared" si="3"/>
        <v>98505</v>
      </c>
      <c r="J19" s="7">
        <f t="shared" si="10"/>
        <v>1970614.8528935574</v>
      </c>
      <c r="K19" s="7">
        <f>'Q.1.input'!$G$23</f>
        <v>1000</v>
      </c>
      <c r="L19" s="7">
        <f t="shared" si="4"/>
        <v>1969614.8528935574</v>
      </c>
      <c r="M19" s="7">
        <f>L19*'Q.1.input'!$N$4</f>
        <v>196961.48528935574</v>
      </c>
      <c r="N19" s="7">
        <f t="shared" si="5"/>
        <v>2166576.3381829131</v>
      </c>
      <c r="O19" s="7">
        <f>N19*'Q.1.input'!$G$24</f>
        <v>10832.881690914566</v>
      </c>
      <c r="P19" s="7">
        <f t="shared" si="6"/>
        <v>2155743.4564919984</v>
      </c>
      <c r="Q19" s="37">
        <f t="shared" si="7"/>
        <v>0</v>
      </c>
      <c r="R19" s="14">
        <f>Q19*VLOOKUP(D19,'Q.1.input'!$B$4:$C$46,2,FALSE)*90%</f>
        <v>0</v>
      </c>
      <c r="S19" s="7">
        <f t="shared" si="8"/>
        <v>2155743.4564919984</v>
      </c>
    </row>
    <row r="20" spans="3:19" x14ac:dyDescent="0.35">
      <c r="C20" s="5">
        <f t="shared" si="9"/>
        <v>13</v>
      </c>
      <c r="D20" s="5">
        <f t="shared" si="9"/>
        <v>52</v>
      </c>
      <c r="E20" s="7">
        <f t="shared" si="0"/>
        <v>100000</v>
      </c>
      <c r="F20" s="7">
        <f>VLOOKUP(C20,'Q.1.input'!$F$4:$G$19,2,FALSE)*E20</f>
        <v>1000</v>
      </c>
      <c r="G20" s="7">
        <f t="shared" si="1"/>
        <v>99000</v>
      </c>
      <c r="H20" s="7">
        <f t="shared" si="2"/>
        <v>495</v>
      </c>
      <c r="I20" s="7">
        <f t="shared" si="3"/>
        <v>98505</v>
      </c>
      <c r="J20" s="7">
        <f t="shared" si="10"/>
        <v>2254248.4564919984</v>
      </c>
      <c r="K20" s="7">
        <f>'Q.1.input'!$G$23</f>
        <v>1000</v>
      </c>
      <c r="L20" s="7">
        <f t="shared" si="4"/>
        <v>2253248.4564919984</v>
      </c>
      <c r="M20" s="7">
        <f>L20*'Q.1.input'!$N$4</f>
        <v>225324.84564919985</v>
      </c>
      <c r="N20" s="7">
        <f t="shared" si="5"/>
        <v>2478573.3021411984</v>
      </c>
      <c r="O20" s="7">
        <f>N20*'Q.1.input'!$G$24</f>
        <v>12392.866510705993</v>
      </c>
      <c r="P20" s="7">
        <f t="shared" si="6"/>
        <v>2466180.4356304924</v>
      </c>
      <c r="Q20" s="37">
        <f t="shared" si="7"/>
        <v>0</v>
      </c>
      <c r="R20" s="14">
        <f>Q20*VLOOKUP(D20,'Q.1.input'!$B$4:$C$46,2,FALSE)*90%</f>
        <v>0</v>
      </c>
      <c r="S20" s="7">
        <f t="shared" si="8"/>
        <v>2466180.4356304924</v>
      </c>
    </row>
    <row r="21" spans="3:19" x14ac:dyDescent="0.35">
      <c r="C21" s="5">
        <f t="shared" si="9"/>
        <v>14</v>
      </c>
      <c r="D21" s="5">
        <f t="shared" si="9"/>
        <v>53</v>
      </c>
      <c r="E21" s="7">
        <f t="shared" si="0"/>
        <v>100000</v>
      </c>
      <c r="F21" s="7">
        <f>VLOOKUP(C21,'Q.1.input'!$F$4:$G$19,2,FALSE)*E21</f>
        <v>1000</v>
      </c>
      <c r="G21" s="7">
        <f t="shared" si="1"/>
        <v>99000</v>
      </c>
      <c r="H21" s="7">
        <f t="shared" si="2"/>
        <v>495</v>
      </c>
      <c r="I21" s="7">
        <f t="shared" si="3"/>
        <v>98505</v>
      </c>
      <c r="J21" s="7">
        <f t="shared" si="10"/>
        <v>2564685.4356304924</v>
      </c>
      <c r="K21" s="7">
        <f>'Q.1.input'!$G$23</f>
        <v>1000</v>
      </c>
      <c r="L21" s="7">
        <f t="shared" si="4"/>
        <v>2563685.4356304924</v>
      </c>
      <c r="M21" s="7">
        <f>L21*'Q.1.input'!$N$4</f>
        <v>256368.54356304926</v>
      </c>
      <c r="N21" s="7">
        <f t="shared" si="5"/>
        <v>2820053.9791935417</v>
      </c>
      <c r="O21" s="7">
        <f>N21*'Q.1.input'!$G$24</f>
        <v>14100.269895967709</v>
      </c>
      <c r="P21" s="7">
        <f t="shared" si="6"/>
        <v>2805953.7092975741</v>
      </c>
      <c r="Q21" s="37">
        <f t="shared" si="7"/>
        <v>0</v>
      </c>
      <c r="R21" s="14">
        <f>Q21*VLOOKUP(D21,'Q.1.input'!$B$4:$C$46,2,FALSE)*90%</f>
        <v>0</v>
      </c>
      <c r="S21" s="7">
        <f t="shared" si="8"/>
        <v>2805953.7092975741</v>
      </c>
    </row>
    <row r="22" spans="3:19" x14ac:dyDescent="0.35">
      <c r="C22" s="5">
        <f t="shared" si="9"/>
        <v>15</v>
      </c>
      <c r="D22" s="5">
        <f t="shared" si="9"/>
        <v>54</v>
      </c>
      <c r="E22" s="7">
        <f t="shared" si="0"/>
        <v>100000</v>
      </c>
      <c r="F22" s="7">
        <f>VLOOKUP(C22,'Q.1.input'!$F$4:$G$19,2,FALSE)*E22</f>
        <v>1000</v>
      </c>
      <c r="G22" s="7">
        <f t="shared" si="1"/>
        <v>99000</v>
      </c>
      <c r="H22" s="7">
        <f t="shared" si="2"/>
        <v>495</v>
      </c>
      <c r="I22" s="7">
        <f t="shared" si="3"/>
        <v>98505</v>
      </c>
      <c r="J22" s="7">
        <f t="shared" si="10"/>
        <v>2904458.7092975741</v>
      </c>
      <c r="K22" s="7">
        <f>'Q.1.input'!$G$23</f>
        <v>1000</v>
      </c>
      <c r="L22" s="7">
        <f t="shared" si="4"/>
        <v>2903458.7092975741</v>
      </c>
      <c r="M22" s="7">
        <f>L22*'Q.1.input'!$N$4</f>
        <v>290345.87092975742</v>
      </c>
      <c r="N22" s="7">
        <f t="shared" si="5"/>
        <v>3193804.5802273317</v>
      </c>
      <c r="O22" s="7">
        <f>N22*'Q.1.input'!$G$24</f>
        <v>15969.022901136659</v>
      </c>
      <c r="P22" s="7">
        <f t="shared" si="6"/>
        <v>3177835.5573261953</v>
      </c>
      <c r="Q22" s="37">
        <f t="shared" si="7"/>
        <v>0</v>
      </c>
      <c r="R22" s="14">
        <f>Q22*VLOOKUP(D22,'Q.1.input'!$B$4:$C$46,2,FALSE)*90%</f>
        <v>0</v>
      </c>
      <c r="S22" s="7">
        <f t="shared" si="8"/>
        <v>3177835.5573261953</v>
      </c>
    </row>
    <row r="25" spans="3:19" x14ac:dyDescent="0.35">
      <c r="R25" s="96"/>
    </row>
    <row r="26" spans="3:19" x14ac:dyDescent="0.35">
      <c r="Q26" s="96"/>
      <c r="R26" s="96"/>
    </row>
    <row r="27" spans="3:19" x14ac:dyDescent="0.35">
      <c r="R27" s="104"/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E8FA-EAE0-41C0-915F-C6DA602F0CB2}">
  <dimension ref="A1:X22"/>
  <sheetViews>
    <sheetView showGridLines="0" zoomScaleNormal="100" workbookViewId="0"/>
  </sheetViews>
  <sheetFormatPr defaultRowHeight="14.5" x14ac:dyDescent="0.35"/>
  <cols>
    <col min="1" max="1" width="11.1796875" bestFit="1" customWidth="1"/>
    <col min="2" max="2" width="9.6328125" bestFit="1" customWidth="1"/>
    <col min="6" max="7" width="15.90625" bestFit="1" customWidth="1"/>
    <col min="8" max="8" width="12.36328125" customWidth="1"/>
    <col min="13" max="13" width="11.81640625" customWidth="1"/>
    <col min="14" max="14" width="8.81640625" bestFit="1" customWidth="1"/>
    <col min="15" max="15" width="9.6328125" bestFit="1" customWidth="1"/>
    <col min="16" max="16" width="12.1796875" bestFit="1" customWidth="1"/>
    <col min="17" max="17" width="12.1796875" customWidth="1"/>
    <col min="18" max="18" width="8.81640625" bestFit="1" customWidth="1"/>
    <col min="19" max="20" width="9.81640625" bestFit="1" customWidth="1"/>
    <col min="21" max="21" width="8.81640625" bestFit="1" customWidth="1"/>
    <col min="22" max="22" width="9.36328125" bestFit="1" customWidth="1"/>
  </cols>
  <sheetData>
    <row r="1" spans="1:24" x14ac:dyDescent="0.35">
      <c r="A1" s="5" t="s">
        <v>13</v>
      </c>
      <c r="B1" s="5">
        <v>100000</v>
      </c>
    </row>
    <row r="2" spans="1:24" x14ac:dyDescent="0.35">
      <c r="A2" s="5" t="s">
        <v>14</v>
      </c>
      <c r="B2" s="7">
        <v>1500000</v>
      </c>
    </row>
    <row r="3" spans="1:24" x14ac:dyDescent="0.35">
      <c r="A3" s="5" t="s">
        <v>15</v>
      </c>
      <c r="B3" s="5">
        <v>40</v>
      </c>
      <c r="F3" s="2" t="s">
        <v>40</v>
      </c>
      <c r="G3" s="36">
        <f>SUM($V$8:$V$22)</f>
        <v>7661.6319380022478</v>
      </c>
      <c r="H3" s="96"/>
    </row>
    <row r="4" spans="1:24" x14ac:dyDescent="0.35">
      <c r="O4" s="100"/>
      <c r="P4" s="100"/>
    </row>
    <row r="5" spans="1:24" ht="15" thickBot="1" x14ac:dyDescent="0.4">
      <c r="P5" s="96"/>
      <c r="Q5" s="96"/>
      <c r="S5" s="96"/>
      <c r="T5" s="96"/>
      <c r="U5" s="96"/>
      <c r="V5" s="96"/>
    </row>
    <row r="6" spans="1:24" ht="58" x14ac:dyDescent="0.35">
      <c r="C6" s="15" t="s">
        <v>3</v>
      </c>
      <c r="D6" s="16" t="s">
        <v>1</v>
      </c>
      <c r="E6" s="17" t="s">
        <v>41</v>
      </c>
      <c r="F6" s="17" t="s">
        <v>30</v>
      </c>
      <c r="G6" s="18" t="s">
        <v>31</v>
      </c>
      <c r="H6" s="15" t="s">
        <v>25</v>
      </c>
      <c r="I6" s="17" t="s">
        <v>26</v>
      </c>
      <c r="J6" s="16" t="s">
        <v>18</v>
      </c>
      <c r="K6" s="17" t="s">
        <v>27</v>
      </c>
      <c r="L6" s="17" t="s">
        <v>6</v>
      </c>
      <c r="M6" s="18" t="s">
        <v>28</v>
      </c>
      <c r="N6" s="15" t="s">
        <v>29</v>
      </c>
      <c r="O6" s="17" t="s">
        <v>32</v>
      </c>
      <c r="P6" s="17" t="s">
        <v>46</v>
      </c>
      <c r="Q6" s="18" t="s">
        <v>34</v>
      </c>
      <c r="R6" s="18" t="s">
        <v>47</v>
      </c>
      <c r="S6" s="15" t="s">
        <v>35</v>
      </c>
      <c r="T6" s="17" t="s">
        <v>36</v>
      </c>
      <c r="U6" s="17" t="s">
        <v>37</v>
      </c>
      <c r="V6" s="18" t="s">
        <v>39</v>
      </c>
      <c r="X6" s="96"/>
    </row>
    <row r="7" spans="1:24" x14ac:dyDescent="0.35">
      <c r="C7" s="19"/>
      <c r="G7" s="20"/>
      <c r="H7" s="19"/>
      <c r="M7" s="20"/>
      <c r="N7" s="19"/>
      <c r="R7" s="20"/>
      <c r="S7" s="19"/>
      <c r="V7" s="20"/>
      <c r="X7" s="104"/>
    </row>
    <row r="8" spans="1:24" x14ac:dyDescent="0.35">
      <c r="C8" s="21">
        <f>'Q.1.i'!C8</f>
        <v>1</v>
      </c>
      <c r="D8" s="5">
        <f>'Q.1.i'!D8</f>
        <v>40</v>
      </c>
      <c r="E8" s="5">
        <v>1</v>
      </c>
      <c r="F8" s="5">
        <f>VLOOKUP(D8,'Q.1.input'!$B$5:$C$46,2,FALSE)*80%</f>
        <v>1.3579014999999999E-3</v>
      </c>
      <c r="G8" s="22">
        <f>'Q.1.input'!K9</f>
        <v>0.1</v>
      </c>
      <c r="H8" s="21">
        <f>'Q.1.i'!F8</f>
        <v>5000</v>
      </c>
      <c r="I8" s="5">
        <f>'Q.1.i'!H8</f>
        <v>475</v>
      </c>
      <c r="J8" s="5">
        <f>'Q.1.i'!K8</f>
        <v>1000</v>
      </c>
      <c r="K8" s="5">
        <f>'Q.1.input'!$K$4</f>
        <v>10000</v>
      </c>
      <c r="L8" s="5">
        <v>0</v>
      </c>
      <c r="M8" s="27">
        <f>H8</f>
        <v>5000</v>
      </c>
      <c r="N8" s="29">
        <f>(SUM(H8:J8)-SUM(K8:M8))*'Q.1.input'!$N$5</f>
        <v>-511.5</v>
      </c>
      <c r="O8" s="7">
        <f>'Q.1.iii'!O8</f>
        <v>514.38750000000005</v>
      </c>
      <c r="P8" s="7">
        <f>MAX($B$2-'Q.1.iii'!P8,0)</f>
        <v>1397636.8875</v>
      </c>
      <c r="Q8" s="38">
        <f>P8*F8</f>
        <v>1897.853225991581</v>
      </c>
      <c r="R8" s="30">
        <f>'Q.1.iii'!R8</f>
        <v>2135.0848792405286</v>
      </c>
      <c r="S8" s="29">
        <f>SUM(H8:J8,N8:O8,R8)-SUM(K8:M8,Q8)</f>
        <v>-8284.8808467510535</v>
      </c>
      <c r="T8" s="7">
        <f t="shared" ref="T8:T22" si="0">S8*E8</f>
        <v>-8284.8808467510535</v>
      </c>
      <c r="U8" s="34">
        <f>(1+'Q.1.input'!$G$27)^-C8</f>
        <v>0.88495575221238942</v>
      </c>
      <c r="V8" s="30">
        <f>U8*T8</f>
        <v>-7331.7529617265964</v>
      </c>
    </row>
    <row r="9" spans="1:24" x14ac:dyDescent="0.35">
      <c r="C9" s="21">
        <f>'Q.1.i'!C9</f>
        <v>2</v>
      </c>
      <c r="D9" s="5">
        <f>'Q.1.i'!D9</f>
        <v>41</v>
      </c>
      <c r="E9" s="14">
        <f t="shared" ref="E9:E22" si="1">E8*(1-F8)*(1-G8)</f>
        <v>0.89877788864999997</v>
      </c>
      <c r="F9" s="5">
        <f>VLOOKUP(D9,'Q.1.input'!$B$5:$C$46,2,FALSE)*80%</f>
        <v>1.4797389999999999E-3</v>
      </c>
      <c r="G9" s="22">
        <f>'Q.1.input'!K10</f>
        <v>0.05</v>
      </c>
      <c r="H9" s="21">
        <f>'Q.1.i'!F9</f>
        <v>2000</v>
      </c>
      <c r="I9" s="5">
        <f>'Q.1.i'!H9</f>
        <v>490</v>
      </c>
      <c r="J9" s="5">
        <f>'Q.1.i'!K9</f>
        <v>1000</v>
      </c>
      <c r="K9" s="5">
        <v>0</v>
      </c>
      <c r="L9" s="5">
        <f>'Q.1.input'!$K$5</f>
        <v>3000</v>
      </c>
      <c r="M9" s="27">
        <f t="shared" ref="M9:M22" si="2">H9</f>
        <v>2000</v>
      </c>
      <c r="N9" s="29">
        <f>(SUM(H9:J9)-SUM(K9:M9))*'Q.1.input'!$N$5</f>
        <v>-90.6</v>
      </c>
      <c r="O9" s="7">
        <f>'Q.1.iii'!O9</f>
        <v>1082.0591519141772</v>
      </c>
      <c r="P9" s="7">
        <f>MAX($B$2-'Q.1.iii'!P9,0)</f>
        <v>1284670.2287690789</v>
      </c>
      <c r="Q9" s="38">
        <f t="shared" ref="Q9:Q22" si="3">P9*F9</f>
        <v>1900.9766396485279</v>
      </c>
      <c r="R9" s="30">
        <f>'Q.1.iii'!R9</f>
        <v>2138.5987196045935</v>
      </c>
      <c r="S9" s="29">
        <f t="shared" ref="S9:S22" si="4">SUM(H9:J9,N9:O9,R9)-SUM(K9:M9,Q9)</f>
        <v>-280.91876812975715</v>
      </c>
      <c r="T9" s="7">
        <f t="shared" si="0"/>
        <v>-252.48357730182204</v>
      </c>
      <c r="U9" s="34">
        <f>(1+'Q.1.input'!$G$27)^-C9</f>
        <v>0.78314668337379612</v>
      </c>
      <c r="V9" s="30">
        <f t="shared" ref="V9:V22" si="5">U9*T9</f>
        <v>-197.7316761702734</v>
      </c>
    </row>
    <row r="10" spans="1:24" x14ac:dyDescent="0.35">
      <c r="C10" s="21">
        <f>'Q.1.i'!C10</f>
        <v>3</v>
      </c>
      <c r="D10" s="5">
        <f>'Q.1.i'!D10</f>
        <v>42</v>
      </c>
      <c r="E10" s="14">
        <f t="shared" si="1"/>
        <v>0.85257553535803554</v>
      </c>
      <c r="F10" s="5">
        <f>VLOOKUP(D10,'Q.1.input'!$B$5:$C$46,2,FALSE)*80%</f>
        <v>1.6207094999999999E-3</v>
      </c>
      <c r="G10" s="22">
        <f>'Q.1.input'!K11</f>
        <v>0.05</v>
      </c>
      <c r="H10" s="21">
        <f>'Q.1.i'!F10</f>
        <v>2000</v>
      </c>
      <c r="I10" s="5">
        <f>'Q.1.i'!H10</f>
        <v>490</v>
      </c>
      <c r="J10" s="5">
        <f>'Q.1.i'!K10</f>
        <v>1000</v>
      </c>
      <c r="K10" s="5">
        <v>0</v>
      </c>
      <c r="L10" s="5">
        <f>'Q.1.input'!$K$5</f>
        <v>3000</v>
      </c>
      <c r="M10" s="27">
        <f t="shared" si="2"/>
        <v>2000</v>
      </c>
      <c r="N10" s="29">
        <f>(SUM(H10:J10)-SUM(K10:M10))*'Q.1.input'!$N$5</f>
        <v>-90.6</v>
      </c>
      <c r="O10" s="7">
        <f>'Q.1.iii'!O10</f>
        <v>1703.3564488122415</v>
      </c>
      <c r="P10" s="7">
        <f>MAX($B$2-'Q.1.iii'!P10,0)</f>
        <v>1161032.0666863639</v>
      </c>
      <c r="Q10" s="38">
        <f t="shared" si="3"/>
        <v>1881.6957002832232</v>
      </c>
      <c r="R10" s="30">
        <f>'Q.1.iii'!R10</f>
        <v>2116.9076628186258</v>
      </c>
      <c r="S10" s="29">
        <f t="shared" si="4"/>
        <v>337.96841134764418</v>
      </c>
      <c r="T10" s="7">
        <f t="shared" si="0"/>
        <v>288.1435992388225</v>
      </c>
      <c r="U10" s="34">
        <f>(1+'Q.1.input'!$G$27)^-C10</f>
        <v>0.69305016227769578</v>
      </c>
      <c r="V10" s="30">
        <f t="shared" si="5"/>
        <v>199.69796821174526</v>
      </c>
    </row>
    <row r="11" spans="1:24" x14ac:dyDescent="0.35">
      <c r="C11" s="21">
        <f>'Q.1.i'!C11</f>
        <v>4</v>
      </c>
      <c r="D11" s="5">
        <f>'Q.1.i'!D11</f>
        <v>43</v>
      </c>
      <c r="E11" s="14">
        <f t="shared" si="1"/>
        <v>0.80863407018399247</v>
      </c>
      <c r="F11" s="5">
        <f>VLOOKUP(D11,'Q.1.input'!$B$5:$C$46,2,FALSE)*80%</f>
        <v>1.7840619999999999E-3</v>
      </c>
      <c r="G11" s="22">
        <f>'Q.1.input'!K12</f>
        <v>0.02</v>
      </c>
      <c r="H11" s="21">
        <f>'Q.1.i'!F11</f>
        <v>2000</v>
      </c>
      <c r="I11" s="5">
        <f>'Q.1.i'!H11</f>
        <v>490</v>
      </c>
      <c r="J11" s="5">
        <f>'Q.1.i'!K11</f>
        <v>1000</v>
      </c>
      <c r="K11" s="5">
        <v>0</v>
      </c>
      <c r="L11" s="5">
        <f>'Q.1.input'!$K$5</f>
        <v>3000</v>
      </c>
      <c r="M11" s="27">
        <f t="shared" si="2"/>
        <v>2000</v>
      </c>
      <c r="N11" s="29">
        <f>(SUM(H11:J11)-SUM(K11:M11))*'Q.1.input'!$N$5</f>
        <v>-90.6</v>
      </c>
      <c r="O11" s="7">
        <f>'Q.1.iii'!O11</f>
        <v>2383.485641079496</v>
      </c>
      <c r="P11" s="7">
        <f>MAX($B$2-'Q.1.iii'!P11,0)</f>
        <v>1025686.3574251803</v>
      </c>
      <c r="Q11" s="38">
        <f t="shared" si="3"/>
        <v>1829.8880542006818</v>
      </c>
      <c r="R11" s="30">
        <f>'Q.1.iii'!R11</f>
        <v>2058.624060975767</v>
      </c>
      <c r="S11" s="29">
        <f t="shared" si="4"/>
        <v>1011.6216478545812</v>
      </c>
      <c r="T11" s="7">
        <f t="shared" si="0"/>
        <v>818.03173059088749</v>
      </c>
      <c r="U11" s="34">
        <f>(1+'Q.1.input'!$G$27)^-C11</f>
        <v>0.61331872767937679</v>
      </c>
      <c r="V11" s="30">
        <f t="shared" si="5"/>
        <v>501.71418020736184</v>
      </c>
    </row>
    <row r="12" spans="1:24" x14ac:dyDescent="0.35">
      <c r="C12" s="21">
        <f>'Q.1.i'!C12</f>
        <v>5</v>
      </c>
      <c r="D12" s="5">
        <f>'Q.1.i'!D12</f>
        <v>44</v>
      </c>
      <c r="E12" s="14">
        <f t="shared" si="1"/>
        <v>0.79104758853012247</v>
      </c>
      <c r="F12" s="5">
        <f>VLOOKUP(D12,'Q.1.input'!$B$5:$C$46,2,FALSE)*80%</f>
        <v>1.9732259999999998E-3</v>
      </c>
      <c r="G12" s="22">
        <f>'Q.1.input'!K13</f>
        <v>0.02</v>
      </c>
      <c r="H12" s="21">
        <f>'Q.1.i'!F12</f>
        <v>2000</v>
      </c>
      <c r="I12" s="5">
        <f>'Q.1.i'!H12</f>
        <v>490</v>
      </c>
      <c r="J12" s="5">
        <f>'Q.1.i'!K12</f>
        <v>1000</v>
      </c>
      <c r="K12" s="5">
        <v>0</v>
      </c>
      <c r="L12" s="5">
        <f>'Q.1.input'!$K$5</f>
        <v>3000</v>
      </c>
      <c r="M12" s="27">
        <f t="shared" si="2"/>
        <v>2000</v>
      </c>
      <c r="N12" s="29">
        <f>(SUM(H12:J12)-SUM(K12:M12))*'Q.1.input'!$N$5</f>
        <v>-90.6</v>
      </c>
      <c r="O12" s="7">
        <f>'Q.1.iii'!O12</f>
        <v>3128.2076018261414</v>
      </c>
      <c r="P12" s="7">
        <f>MAX($B$2-'Q.1.iii'!P12,0)</f>
        <v>877486.68723659788</v>
      </c>
      <c r="Q12" s="38">
        <f t="shared" si="3"/>
        <v>1731.4795459091229</v>
      </c>
      <c r="R12" s="30">
        <f>'Q.1.iii'!R12</f>
        <v>1947.9144891477636</v>
      </c>
      <c r="S12" s="29">
        <f t="shared" si="4"/>
        <v>1744.0425450647808</v>
      </c>
      <c r="T12" s="7">
        <f t="shared" si="0"/>
        <v>1379.6206495674323</v>
      </c>
      <c r="U12" s="34">
        <f>(1+'Q.1.input'!$G$27)^-C12</f>
        <v>0.54275993599944861</v>
      </c>
      <c r="V12" s="30">
        <f t="shared" si="5"/>
        <v>748.80281546273727</v>
      </c>
    </row>
    <row r="13" spans="1:24" x14ac:dyDescent="0.35">
      <c r="C13" s="21">
        <f>'Q.1.i'!C13</f>
        <v>6</v>
      </c>
      <c r="D13" s="5">
        <f>'Q.1.i'!D13</f>
        <v>45</v>
      </c>
      <c r="E13" s="14">
        <f t="shared" si="1"/>
        <v>0.77369693940397344</v>
      </c>
      <c r="F13" s="5">
        <f>VLOOKUP(D13,'Q.1.input'!$B$5:$C$46,2,FALSE)*80%</f>
        <v>2.1914504999999999E-3</v>
      </c>
      <c r="G13" s="22">
        <f>'Q.1.input'!K14</f>
        <v>0.01</v>
      </c>
      <c r="H13" s="21">
        <f>'Q.1.i'!F13</f>
        <v>1000</v>
      </c>
      <c r="I13" s="5">
        <f>'Q.1.i'!H13</f>
        <v>495</v>
      </c>
      <c r="J13" s="5">
        <f>'Q.1.i'!K13</f>
        <v>1000</v>
      </c>
      <c r="K13" s="5">
        <v>0</v>
      </c>
      <c r="L13" s="5">
        <f>'Q.1.input'!$K$5</f>
        <v>3000</v>
      </c>
      <c r="M13" s="27">
        <f t="shared" si="2"/>
        <v>1000</v>
      </c>
      <c r="N13" s="29">
        <f>(SUM(H13:J13)-SUM(K13:M13))*'Q.1.input'!$N$5</f>
        <v>-90.3</v>
      </c>
      <c r="O13" s="7">
        <f>'Q.1.iii'!O13</f>
        <v>3949.3871905083988</v>
      </c>
      <c r="P13" s="7">
        <f>MAX($B$2-'Q.1.iii'!P13,0)</f>
        <v>714071.94908882864</v>
      </c>
      <c r="Q13" s="38">
        <f t="shared" si="3"/>
        <v>1564.853329866688</v>
      </c>
      <c r="R13" s="30">
        <f>'Q.1.iii'!R13</f>
        <v>1760.4599961000238</v>
      </c>
      <c r="S13" s="29">
        <f t="shared" si="4"/>
        <v>2549.6938567417346</v>
      </c>
      <c r="T13" s="7">
        <f t="shared" si="0"/>
        <v>1972.6903333781931</v>
      </c>
      <c r="U13" s="34">
        <f>(1+'Q.1.input'!$G$27)^-C13</f>
        <v>0.48031852743314046</v>
      </c>
      <c r="V13" s="30">
        <f t="shared" si="5"/>
        <v>947.51971600980471</v>
      </c>
    </row>
    <row r="14" spans="1:24" x14ac:dyDescent="0.35">
      <c r="C14" s="21">
        <f>'Q.1.i'!C14</f>
        <v>7</v>
      </c>
      <c r="D14" s="5">
        <f>'Q.1.i'!D14</f>
        <v>46</v>
      </c>
      <c r="E14" s="14">
        <f t="shared" si="1"/>
        <v>0.76428140665067545</v>
      </c>
      <c r="F14" s="5">
        <f>VLOOKUP(D14,'Q.1.input'!$B$5:$C$46,2,FALSE)*80%</f>
        <v>2.4416235000000001E-3</v>
      </c>
      <c r="G14" s="22">
        <f>'Q.1.input'!K15</f>
        <v>0.01</v>
      </c>
      <c r="H14" s="21">
        <f>'Q.1.i'!F14</f>
        <v>1000</v>
      </c>
      <c r="I14" s="5">
        <f>'Q.1.i'!H14</f>
        <v>495</v>
      </c>
      <c r="J14" s="5">
        <f>'Q.1.i'!K14</f>
        <v>1000</v>
      </c>
      <c r="K14" s="5">
        <v>0</v>
      </c>
      <c r="L14" s="5">
        <f>'Q.1.input'!$K$5</f>
        <v>3000</v>
      </c>
      <c r="M14" s="27">
        <f t="shared" si="2"/>
        <v>1000</v>
      </c>
      <c r="N14" s="29">
        <f>(SUM(H14:J14)-SUM(K14:M14))*'Q.1.input'!$N$5</f>
        <v>-90.3</v>
      </c>
      <c r="O14" s="7">
        <f>'Q.1.iii'!O14</f>
        <v>4849.1992500328925</v>
      </c>
      <c r="P14" s="7">
        <f>MAX($B$2-'Q.1.iii'!P14,0)</f>
        <v>535009.3492434544</v>
      </c>
      <c r="Q14" s="38">
        <f t="shared" si="3"/>
        <v>1306.2913998325255</v>
      </c>
      <c r="R14" s="30">
        <f>'Q.1.iii'!R14</f>
        <v>1469.577824811591</v>
      </c>
      <c r="S14" s="29">
        <f t="shared" si="4"/>
        <v>3417.1856750119568</v>
      </c>
      <c r="T14" s="7">
        <f t="shared" si="0"/>
        <v>2611.6914744846763</v>
      </c>
      <c r="U14" s="34">
        <f>(1+'Q.1.input'!$G$27)^-C14</f>
        <v>0.425060643746142</v>
      </c>
      <c r="V14" s="30">
        <f t="shared" si="5"/>
        <v>1110.1272594107672</v>
      </c>
    </row>
    <row r="15" spans="1:24" x14ac:dyDescent="0.35">
      <c r="C15" s="21">
        <f>'Q.1.i'!C15</f>
        <v>8</v>
      </c>
      <c r="D15" s="5">
        <f>'Q.1.i'!D15</f>
        <v>47</v>
      </c>
      <c r="E15" s="14">
        <f t="shared" si="1"/>
        <v>0.75479116601550822</v>
      </c>
      <c r="F15" s="5">
        <f>VLOOKUP(D15,'Q.1.input'!$B$5:$C$46,2,FALSE)*80%</f>
        <v>2.7251889999999998E-3</v>
      </c>
      <c r="G15" s="22">
        <f>'Q.1.input'!K16</f>
        <v>0.01</v>
      </c>
      <c r="H15" s="21">
        <f>'Q.1.i'!F15</f>
        <v>1000</v>
      </c>
      <c r="I15" s="5">
        <f>'Q.1.i'!H15</f>
        <v>495</v>
      </c>
      <c r="J15" s="5">
        <f>'Q.1.i'!K15</f>
        <v>1000</v>
      </c>
      <c r="K15" s="5">
        <v>0</v>
      </c>
      <c r="L15" s="5">
        <f>'Q.1.input'!$K$5</f>
        <v>3000</v>
      </c>
      <c r="M15" s="27">
        <f t="shared" si="2"/>
        <v>1000</v>
      </c>
      <c r="N15" s="29">
        <f>(SUM(H15:J15)-SUM(K15:M15))*'Q.1.input'!$N$5</f>
        <v>-90.3</v>
      </c>
      <c r="O15" s="7">
        <f>'Q.1.iii'!O15</f>
        <v>5835.6434011245365</v>
      </c>
      <c r="P15" s="7">
        <f>MAX($B$2-'Q.1.iii'!P15,0)</f>
        <v>338706.96317621716</v>
      </c>
      <c r="Q15" s="38">
        <f t="shared" si="3"/>
        <v>923.04049027123199</v>
      </c>
      <c r="R15" s="30">
        <f>'Q.1.iii'!R15</f>
        <v>1038.4205515551359</v>
      </c>
      <c r="S15" s="29">
        <f t="shared" si="4"/>
        <v>4355.7234624084422</v>
      </c>
      <c r="T15" s="7">
        <f t="shared" si="0"/>
        <v>3287.6615910323749</v>
      </c>
      <c r="U15" s="34">
        <f>(1+'Q.1.input'!$G$27)^-C15</f>
        <v>0.37615986172224958</v>
      </c>
      <c r="V15" s="30">
        <f t="shared" si="5"/>
        <v>1236.6863294722891</v>
      </c>
    </row>
    <row r="16" spans="1:24" x14ac:dyDescent="0.35">
      <c r="C16" s="21">
        <f>'Q.1.i'!C16</f>
        <v>9</v>
      </c>
      <c r="D16" s="5">
        <f>'Q.1.i'!D16</f>
        <v>48</v>
      </c>
      <c r="E16" s="14">
        <f t="shared" si="1"/>
        <v>0.74520687525825979</v>
      </c>
      <c r="F16" s="5">
        <f>VLOOKUP(D16,'Q.1.input'!$B$5:$C$46,2,FALSE)*80%</f>
        <v>3.0417859999999994E-3</v>
      </c>
      <c r="G16" s="22">
        <f>'Q.1.input'!K17</f>
        <v>0.01</v>
      </c>
      <c r="H16" s="21">
        <f>'Q.1.i'!F16</f>
        <v>1000</v>
      </c>
      <c r="I16" s="5">
        <f>'Q.1.i'!H16</f>
        <v>495</v>
      </c>
      <c r="J16" s="5">
        <f>'Q.1.i'!K16</f>
        <v>1000</v>
      </c>
      <c r="K16" s="5">
        <v>0</v>
      </c>
      <c r="L16" s="5">
        <f>'Q.1.input'!$K$5</f>
        <v>3000</v>
      </c>
      <c r="M16" s="27">
        <f t="shared" si="2"/>
        <v>1000</v>
      </c>
      <c r="N16" s="29">
        <f>(SUM(H16:J16)-SUM(K16:M16))*'Q.1.input'!$N$5</f>
        <v>-90.3</v>
      </c>
      <c r="O16" s="7">
        <f>'Q.1.iii'!O16</f>
        <v>6917.6778894972522</v>
      </c>
      <c r="P16" s="7">
        <f>MAX($B$2-'Q.1.iii'!P16,0)</f>
        <v>123382.09999004682</v>
      </c>
      <c r="Q16" s="38">
        <f t="shared" si="3"/>
        <v>375.30194440032449</v>
      </c>
      <c r="R16" s="30">
        <f>'Q.1.iii'!R16</f>
        <v>422.21468745036498</v>
      </c>
      <c r="S16" s="29">
        <f t="shared" si="4"/>
        <v>5369.2906325472932</v>
      </c>
      <c r="T16" s="7">
        <f t="shared" si="0"/>
        <v>4001.2322946340137</v>
      </c>
      <c r="U16" s="34">
        <f>(1+'Q.1.input'!$G$27)^-C16</f>
        <v>0.33288483338252178</v>
      </c>
      <c r="V16" s="30">
        <f t="shared" si="5"/>
        <v>1331.9495457240089</v>
      </c>
    </row>
    <row r="17" spans="3:22" x14ac:dyDescent="0.35">
      <c r="C17" s="21">
        <f>'Q.1.i'!C17</f>
        <v>10</v>
      </c>
      <c r="D17" s="5">
        <f>'Q.1.i'!D17</f>
        <v>49</v>
      </c>
      <c r="E17" s="14">
        <f t="shared" si="1"/>
        <v>0.73551071426381542</v>
      </c>
      <c r="F17" s="5">
        <f>VLOOKUP(D17,'Q.1.input'!$B$5:$C$46,2,FALSE)*80%</f>
        <v>3.3894290000000002E-3</v>
      </c>
      <c r="G17" s="22">
        <f>'Q.1.input'!K18</f>
        <v>0.01</v>
      </c>
      <c r="H17" s="21">
        <f>'Q.1.i'!F17</f>
        <v>1000</v>
      </c>
      <c r="I17" s="5">
        <f>'Q.1.i'!H17</f>
        <v>495</v>
      </c>
      <c r="J17" s="5">
        <f>'Q.1.i'!K17</f>
        <v>1000</v>
      </c>
      <c r="K17" s="5">
        <v>0</v>
      </c>
      <c r="L17" s="5">
        <f>'Q.1.input'!$K$5</f>
        <v>3000</v>
      </c>
      <c r="M17" s="27">
        <f t="shared" si="2"/>
        <v>1000</v>
      </c>
      <c r="N17" s="29">
        <f>(SUM(H17:J17)-SUM(K17:M17))*'Q.1.input'!$N$5</f>
        <v>-90.3</v>
      </c>
      <c r="O17" s="7">
        <f>'Q.1.iii'!O17</f>
        <v>8105.3537692737664</v>
      </c>
      <c r="P17" s="7">
        <f>MAX($B$2-'Q.1.iii'!P17,0)</f>
        <v>0</v>
      </c>
      <c r="Q17" s="38">
        <f t="shared" si="3"/>
        <v>0</v>
      </c>
      <c r="R17" s="30">
        <f>'Q.1.iii'!R17</f>
        <v>0</v>
      </c>
      <c r="S17" s="29">
        <f t="shared" si="4"/>
        <v>6510.0537692737671</v>
      </c>
      <c r="T17" s="7">
        <f t="shared" si="0"/>
        <v>4788.2142977343919</v>
      </c>
      <c r="U17" s="34">
        <f>(1+'Q.1.input'!$G$27)^-C17</f>
        <v>0.2945883481261255</v>
      </c>
      <c r="V17" s="30">
        <f t="shared" si="5"/>
        <v>1410.5521404434705</v>
      </c>
    </row>
    <row r="18" spans="3:22" x14ac:dyDescent="0.35">
      <c r="C18" s="21">
        <f>'Q.1.i'!C18</f>
        <v>11</v>
      </c>
      <c r="D18" s="5">
        <f>'Q.1.i'!D18</f>
        <v>50</v>
      </c>
      <c r="E18" s="14">
        <f t="shared" si="1"/>
        <v>0.72568757538988815</v>
      </c>
      <c r="F18" s="5">
        <f>VLOOKUP(D18,'Q.1.input'!$B$5:$C$46,2,FALSE)*80%</f>
        <v>3.7646885000000001E-3</v>
      </c>
      <c r="G18" s="22">
        <f>'Q.1.input'!K19</f>
        <v>0.01</v>
      </c>
      <c r="H18" s="21">
        <f>'Q.1.i'!F18</f>
        <v>1000</v>
      </c>
      <c r="I18" s="5">
        <f>'Q.1.i'!H18</f>
        <v>495</v>
      </c>
      <c r="J18" s="5">
        <f>'Q.1.i'!K18</f>
        <v>1000</v>
      </c>
      <c r="K18" s="5">
        <v>0</v>
      </c>
      <c r="L18" s="5">
        <f>'Q.1.input'!$K$5</f>
        <v>3000</v>
      </c>
      <c r="M18" s="27">
        <f t="shared" si="2"/>
        <v>1000</v>
      </c>
      <c r="N18" s="29">
        <f>(SUM(H18:J18)-SUM(K18:M18))*'Q.1.input'!$N$5</f>
        <v>-90.3</v>
      </c>
      <c r="O18" s="7">
        <f>'Q.1.iii'!O18</f>
        <v>9407.5872004701378</v>
      </c>
      <c r="P18" s="7">
        <f>MAX($B$2-'Q.1.iii'!P18,0)</f>
        <v>0</v>
      </c>
      <c r="Q18" s="38">
        <f t="shared" si="3"/>
        <v>0</v>
      </c>
      <c r="R18" s="30">
        <f>'Q.1.iii'!R18</f>
        <v>0</v>
      </c>
      <c r="S18" s="29">
        <f t="shared" si="4"/>
        <v>7812.2872004701385</v>
      </c>
      <c r="T18" s="7">
        <f t="shared" si="0"/>
        <v>5669.2797567586322</v>
      </c>
      <c r="U18" s="34">
        <f>(1+'Q.1.input'!$G$27)^-C18</f>
        <v>0.26069765320896066</v>
      </c>
      <c r="V18" s="30">
        <f t="shared" si="5"/>
        <v>1477.9679279720426</v>
      </c>
    </row>
    <row r="19" spans="3:22" x14ac:dyDescent="0.35">
      <c r="C19" s="21">
        <f>'Q.1.i'!C19</f>
        <v>12</v>
      </c>
      <c r="D19" s="5">
        <f>'Q.1.i'!D19</f>
        <v>51</v>
      </c>
      <c r="E19" s="14">
        <f t="shared" si="1"/>
        <v>0.71572603184302264</v>
      </c>
      <c r="F19" s="5">
        <f>VLOOKUP(D19,'Q.1.input'!$B$5:$C$46,2,FALSE)*80%</f>
        <v>4.1635934999999999E-3</v>
      </c>
      <c r="G19" s="22">
        <f>'Q.1.input'!K20</f>
        <v>0.01</v>
      </c>
      <c r="H19" s="21">
        <f>'Q.1.i'!F19</f>
        <v>1000</v>
      </c>
      <c r="I19" s="5">
        <f>'Q.1.i'!H19</f>
        <v>495</v>
      </c>
      <c r="J19" s="5">
        <f>'Q.1.i'!K19</f>
        <v>1000</v>
      </c>
      <c r="K19" s="5">
        <v>0</v>
      </c>
      <c r="L19" s="5">
        <f>'Q.1.input'!$K$5</f>
        <v>3000</v>
      </c>
      <c r="M19" s="27">
        <f t="shared" si="2"/>
        <v>1000</v>
      </c>
      <c r="N19" s="29">
        <f>(SUM(H19:J19)-SUM(K19:M19))*'Q.1.input'!$N$5</f>
        <v>-90.3</v>
      </c>
      <c r="O19" s="7">
        <f>'Q.1.iii'!O19</f>
        <v>10832.881690914566</v>
      </c>
      <c r="P19" s="7">
        <f>MAX($B$2-'Q.1.iii'!P19,0)</f>
        <v>0</v>
      </c>
      <c r="Q19" s="38">
        <f t="shared" si="3"/>
        <v>0</v>
      </c>
      <c r="R19" s="30">
        <f>'Q.1.iii'!R19</f>
        <v>0</v>
      </c>
      <c r="S19" s="29">
        <f t="shared" si="4"/>
        <v>9237.5816909145651</v>
      </c>
      <c r="T19" s="7">
        <f t="shared" si="0"/>
        <v>6611.5776874640405</v>
      </c>
      <c r="U19" s="34">
        <f>(1+'Q.1.input'!$G$27)^-C19</f>
        <v>0.23070588779554044</v>
      </c>
      <c r="V19" s="30">
        <f t="shared" si="5"/>
        <v>1525.3299001155776</v>
      </c>
    </row>
    <row r="20" spans="3:22" x14ac:dyDescent="0.35">
      <c r="C20" s="21">
        <f>'Q.1.i'!C20</f>
        <v>13</v>
      </c>
      <c r="D20" s="5">
        <f>'Q.1.i'!D20</f>
        <v>52</v>
      </c>
      <c r="E20" s="14">
        <f t="shared" si="1"/>
        <v>0.70561857919316961</v>
      </c>
      <c r="F20" s="5">
        <f>VLOOKUP(D20,'Q.1.input'!$B$5:$C$46,2,FALSE)*80%</f>
        <v>4.5821729999999993E-3</v>
      </c>
      <c r="G20" s="22">
        <f>'Q.1.input'!K21</f>
        <v>0.01</v>
      </c>
      <c r="H20" s="21">
        <f>'Q.1.i'!F20</f>
        <v>1000</v>
      </c>
      <c r="I20" s="5">
        <f>'Q.1.i'!H20</f>
        <v>495</v>
      </c>
      <c r="J20" s="5">
        <f>'Q.1.i'!K20</f>
        <v>1000</v>
      </c>
      <c r="K20" s="5">
        <v>0</v>
      </c>
      <c r="L20" s="5">
        <f>'Q.1.input'!$K$5</f>
        <v>3000</v>
      </c>
      <c r="M20" s="27">
        <f t="shared" si="2"/>
        <v>1000</v>
      </c>
      <c r="N20" s="29">
        <f>(SUM(H20:J20)-SUM(K20:M20))*'Q.1.input'!$N$5</f>
        <v>-90.3</v>
      </c>
      <c r="O20" s="7">
        <f>'Q.1.iii'!O20</f>
        <v>12392.866510705993</v>
      </c>
      <c r="P20" s="7">
        <f>MAX($B$2-'Q.1.iii'!P20,0)</f>
        <v>0</v>
      </c>
      <c r="Q20" s="38">
        <f t="shared" si="3"/>
        <v>0</v>
      </c>
      <c r="R20" s="30">
        <f>'Q.1.iii'!R20</f>
        <v>0</v>
      </c>
      <c r="S20" s="29">
        <f t="shared" si="4"/>
        <v>10797.566510705994</v>
      </c>
      <c r="T20" s="7">
        <f t="shared" si="0"/>
        <v>7618.9635400281131</v>
      </c>
      <c r="U20" s="34">
        <f>(1+'Q.1.input'!$G$27)^-C20</f>
        <v>0.20416450247392959</v>
      </c>
      <c r="V20" s="30">
        <f t="shared" si="5"/>
        <v>1555.521900516849</v>
      </c>
    </row>
    <row r="21" spans="3:22" x14ac:dyDescent="0.35">
      <c r="C21" s="21">
        <f>'Q.1.i'!C21</f>
        <v>14</v>
      </c>
      <c r="D21" s="5">
        <f>'Q.1.i'!D21</f>
        <v>53</v>
      </c>
      <c r="E21" s="14">
        <f t="shared" si="1"/>
        <v>0.69536145966337937</v>
      </c>
      <c r="F21" s="5">
        <f>VLOOKUP(D21,'Q.1.input'!$B$5:$C$46,2,FALSE)*80%</f>
        <v>5.0171780000000006E-3</v>
      </c>
      <c r="G21" s="22">
        <f>'Q.1.input'!K22</f>
        <v>0.01</v>
      </c>
      <c r="H21" s="21">
        <f>'Q.1.i'!F21</f>
        <v>1000</v>
      </c>
      <c r="I21" s="5">
        <f>'Q.1.i'!H21</f>
        <v>495</v>
      </c>
      <c r="J21" s="5">
        <f>'Q.1.i'!K21</f>
        <v>1000</v>
      </c>
      <c r="K21" s="5">
        <v>0</v>
      </c>
      <c r="L21" s="5">
        <f>'Q.1.input'!$K$5</f>
        <v>3000</v>
      </c>
      <c r="M21" s="27">
        <f t="shared" si="2"/>
        <v>1000</v>
      </c>
      <c r="N21" s="29">
        <f>(SUM(H21:J21)-SUM(K21:M21))*'Q.1.input'!$N$5</f>
        <v>-90.3</v>
      </c>
      <c r="O21" s="7">
        <f>'Q.1.iii'!O21</f>
        <v>14100.269895967709</v>
      </c>
      <c r="P21" s="7">
        <f>MAX($B$2-'Q.1.iii'!P21,0)</f>
        <v>0</v>
      </c>
      <c r="Q21" s="38">
        <f t="shared" si="3"/>
        <v>0</v>
      </c>
      <c r="R21" s="30">
        <f>'Q.1.iii'!R21</f>
        <v>0</v>
      </c>
      <c r="S21" s="29">
        <f t="shared" si="4"/>
        <v>12504.969895967708</v>
      </c>
      <c r="T21" s="7">
        <f t="shared" si="0"/>
        <v>8695.474119906723</v>
      </c>
      <c r="U21" s="34">
        <f>(1+'Q.1.input'!$G$27)^-C21</f>
        <v>0.18067655086188467</v>
      </c>
      <c r="V21" s="30">
        <f t="shared" si="5"/>
        <v>1571.0682720935288</v>
      </c>
    </row>
    <row r="22" spans="3:22" ht="15" thickBot="1" x14ac:dyDescent="0.4">
      <c r="C22" s="23">
        <f>'Q.1.i'!C22</f>
        <v>15</v>
      </c>
      <c r="D22" s="24">
        <f>'Q.1.i'!D22</f>
        <v>54</v>
      </c>
      <c r="E22" s="25">
        <f t="shared" si="1"/>
        <v>0.68495398037144928</v>
      </c>
      <c r="F22" s="24">
        <f>VLOOKUP(D22,'Q.1.input'!$B$5:$C$46,2,FALSE)*80%</f>
        <v>5.4668034999999999E-3</v>
      </c>
      <c r="G22" s="26">
        <f>'Q.1.input'!K23</f>
        <v>0.01</v>
      </c>
      <c r="H22" s="23">
        <f>'Q.1.i'!F22</f>
        <v>1000</v>
      </c>
      <c r="I22" s="24">
        <f>'Q.1.i'!H22</f>
        <v>495</v>
      </c>
      <c r="J22" s="24">
        <f>'Q.1.i'!K22</f>
        <v>1000</v>
      </c>
      <c r="K22" s="24">
        <v>0</v>
      </c>
      <c r="L22" s="24">
        <f>'Q.1.input'!$K$5</f>
        <v>3000</v>
      </c>
      <c r="M22" s="28">
        <f t="shared" si="2"/>
        <v>1000</v>
      </c>
      <c r="N22" s="31">
        <f>(SUM(H22:J22)-SUM(K22:M22))*'Q.1.input'!$N$5</f>
        <v>-90.3</v>
      </c>
      <c r="O22" s="32">
        <f>'Q.1.iii'!O22</f>
        <v>15969.022901136659</v>
      </c>
      <c r="P22" s="7">
        <f>MAX($B$2-'Q.1.iii'!P22,0)</f>
        <v>0</v>
      </c>
      <c r="Q22" s="38">
        <f t="shared" si="3"/>
        <v>0</v>
      </c>
      <c r="R22" s="30">
        <f>'Q.1.iii'!R22</f>
        <v>0</v>
      </c>
      <c r="S22" s="31">
        <f t="shared" si="4"/>
        <v>14373.722901136658</v>
      </c>
      <c r="T22" s="32">
        <f t="shared" si="0"/>
        <v>9845.3387138898088</v>
      </c>
      <c r="U22" s="35">
        <f>(1+'Q.1.input'!$G$27)^-C22</f>
        <v>0.15989075297511918</v>
      </c>
      <c r="V22" s="33">
        <f t="shared" si="5"/>
        <v>1574.1786202589331</v>
      </c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90A7-6508-4A7D-8A59-958A69D76587}">
  <dimension ref="A1:T26"/>
  <sheetViews>
    <sheetView showGridLines="0" zoomScaleNormal="100" workbookViewId="0"/>
  </sheetViews>
  <sheetFormatPr defaultRowHeight="14.5" x14ac:dyDescent="0.35"/>
  <cols>
    <col min="1" max="1" width="11.1796875" bestFit="1" customWidth="1"/>
    <col min="2" max="2" width="9.6328125" bestFit="1" customWidth="1"/>
    <col min="6" max="7" width="15.90625" bestFit="1" customWidth="1"/>
    <col min="8" max="8" width="12.36328125" customWidth="1"/>
    <col min="13" max="13" width="11.81640625" customWidth="1"/>
    <col min="14" max="14" width="8.81640625" bestFit="1" customWidth="1"/>
    <col min="15" max="15" width="9.6328125" bestFit="1" customWidth="1"/>
    <col min="16" max="16" width="12.1796875" bestFit="1" customWidth="1"/>
    <col min="17" max="17" width="12.1796875" customWidth="1"/>
    <col min="18" max="18" width="8.81640625" bestFit="1" customWidth="1"/>
    <col min="19" max="20" width="9.81640625" bestFit="1" customWidth="1"/>
  </cols>
  <sheetData>
    <row r="1" spans="1:20" x14ac:dyDescent="0.35">
      <c r="A1" s="5" t="s">
        <v>13</v>
      </c>
      <c r="B1" s="5">
        <v>100000</v>
      </c>
    </row>
    <row r="2" spans="1:20" x14ac:dyDescent="0.35">
      <c r="A2" s="5" t="s">
        <v>14</v>
      </c>
      <c r="B2" s="7">
        <v>1500000</v>
      </c>
    </row>
    <row r="3" spans="1:20" x14ac:dyDescent="0.35">
      <c r="A3" s="5" t="s">
        <v>15</v>
      </c>
      <c r="B3" s="5">
        <v>40</v>
      </c>
    </row>
    <row r="4" spans="1:20" x14ac:dyDescent="0.35">
      <c r="A4" s="5" t="s">
        <v>50</v>
      </c>
      <c r="B4" s="6">
        <v>0.05</v>
      </c>
    </row>
    <row r="5" spans="1:20" ht="15" thickBot="1" x14ac:dyDescent="0.4"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</row>
    <row r="6" spans="1:20" ht="58" x14ac:dyDescent="0.35">
      <c r="C6" s="15" t="s">
        <v>3</v>
      </c>
      <c r="D6" s="16" t="s">
        <v>1</v>
      </c>
      <c r="E6" s="17" t="s">
        <v>41</v>
      </c>
      <c r="F6" s="17" t="s">
        <v>30</v>
      </c>
      <c r="G6" s="18" t="s">
        <v>31</v>
      </c>
      <c r="H6" s="15" t="s">
        <v>25</v>
      </c>
      <c r="I6" s="17" t="s">
        <v>26</v>
      </c>
      <c r="J6" s="16" t="s">
        <v>18</v>
      </c>
      <c r="K6" s="17" t="s">
        <v>27</v>
      </c>
      <c r="L6" s="17" t="s">
        <v>6</v>
      </c>
      <c r="M6" s="18" t="s">
        <v>28</v>
      </c>
      <c r="N6" s="15" t="s">
        <v>29</v>
      </c>
      <c r="O6" s="17" t="s">
        <v>32</v>
      </c>
      <c r="P6" s="17" t="s">
        <v>46</v>
      </c>
      <c r="Q6" s="18" t="s">
        <v>34</v>
      </c>
      <c r="R6" s="18" t="s">
        <v>47</v>
      </c>
      <c r="S6" s="15" t="s">
        <v>48</v>
      </c>
      <c r="T6" s="17" t="s">
        <v>49</v>
      </c>
    </row>
    <row r="7" spans="1:20" x14ac:dyDescent="0.35">
      <c r="C7" s="19"/>
      <c r="G7" s="20"/>
      <c r="H7" s="19"/>
      <c r="M7" s="20"/>
      <c r="N7" s="19"/>
      <c r="R7" s="20"/>
      <c r="S7" s="19"/>
    </row>
    <row r="8" spans="1:20" x14ac:dyDescent="0.35">
      <c r="C8" s="21">
        <f>'Q.1.i'!C8</f>
        <v>1</v>
      </c>
      <c r="D8" s="5">
        <f>'Q.1.i'!D8</f>
        <v>40</v>
      </c>
      <c r="E8" s="5">
        <v>1</v>
      </c>
      <c r="F8" s="39">
        <f>VLOOKUP(D8,'Q.1.input'!$B$5:$C$46,2,FALSE)*80%</f>
        <v>1.3579014999999999E-3</v>
      </c>
      <c r="G8" s="22">
        <f>'Q.1.input'!K9</f>
        <v>0.1</v>
      </c>
      <c r="H8" s="21">
        <f>'Q.1.i'!F8</f>
        <v>5000</v>
      </c>
      <c r="I8" s="5">
        <f>'Q.1.i'!H8</f>
        <v>475</v>
      </c>
      <c r="J8" s="5">
        <f>'Q.1.i'!K8</f>
        <v>1000</v>
      </c>
      <c r="K8" s="5">
        <f>'Q.1.input'!$K$4</f>
        <v>10000</v>
      </c>
      <c r="L8" s="5">
        <v>0</v>
      </c>
      <c r="M8" s="27">
        <f>H8</f>
        <v>5000</v>
      </c>
      <c r="N8" s="29">
        <f>(SUM(H8:J8)-SUM(K8:M8))*$B$4</f>
        <v>-426.25</v>
      </c>
      <c r="O8" s="7">
        <f>'Q.1.iii'!O8</f>
        <v>514.38750000000005</v>
      </c>
      <c r="P8" s="7">
        <f>MAX($B$2-'Q.1.iii'!P8,0)</f>
        <v>1397636.8875</v>
      </c>
      <c r="Q8" s="38">
        <f>P8*F8</f>
        <v>1897.853225991581</v>
      </c>
      <c r="R8" s="30">
        <f>'Q.1.iii'!R8</f>
        <v>2135.0848792405286</v>
      </c>
      <c r="S8" s="29">
        <f>SUM(H8:J8,N8:O8,R8)-SUM(K8:M8,Q8)</f>
        <v>-8199.6308467510535</v>
      </c>
      <c r="T8" s="7">
        <f t="shared" ref="T8:T20" si="0">MAX((T9-S9)/(1+$B$4),0)</f>
        <v>253.16073155215017</v>
      </c>
    </row>
    <row r="9" spans="1:20" x14ac:dyDescent="0.35">
      <c r="C9" s="21">
        <f>'Q.1.i'!C9</f>
        <v>2</v>
      </c>
      <c r="D9" s="5">
        <f>'Q.1.i'!D9</f>
        <v>41</v>
      </c>
      <c r="E9" s="14">
        <f t="shared" ref="E9:E22" si="1">E8*(1-F8)*(1-G8)</f>
        <v>0.89877788864999997</v>
      </c>
      <c r="F9" s="39">
        <f>VLOOKUP(D9,'Q.1.input'!$B$5:$C$46,2,FALSE)*80%</f>
        <v>1.4797389999999999E-3</v>
      </c>
      <c r="G9" s="22">
        <f>'Q.1.input'!K10</f>
        <v>0.05</v>
      </c>
      <c r="H9" s="21">
        <f>'Q.1.i'!F9</f>
        <v>2000</v>
      </c>
      <c r="I9" s="5">
        <f>'Q.1.i'!H9</f>
        <v>490</v>
      </c>
      <c r="J9" s="5">
        <f>'Q.1.i'!K9</f>
        <v>1000</v>
      </c>
      <c r="K9" s="5">
        <v>0</v>
      </c>
      <c r="L9" s="5">
        <f>'Q.1.input'!$K$5</f>
        <v>3000</v>
      </c>
      <c r="M9" s="27">
        <f t="shared" ref="M9:M22" si="2">H9</f>
        <v>2000</v>
      </c>
      <c r="N9" s="29">
        <f t="shared" ref="N9:N22" si="3">(SUM(H9:J9)-SUM(K9:M9))*$B$4</f>
        <v>-75.5</v>
      </c>
      <c r="O9" s="7">
        <f>'Q.1.iii'!O9</f>
        <v>1082.0591519141772</v>
      </c>
      <c r="P9" s="7">
        <f>MAX($B$2-'Q.1.iii'!P9,0)</f>
        <v>1284670.2287690789</v>
      </c>
      <c r="Q9" s="38">
        <f t="shared" ref="Q9:Q22" si="4">P9*F9</f>
        <v>1900.9766396485279</v>
      </c>
      <c r="R9" s="30">
        <f>'Q.1.iii'!R9</f>
        <v>2138.5987196045935</v>
      </c>
      <c r="S9" s="29">
        <f t="shared" ref="S9:S22" si="5">SUM(H9:J9,N9:O9,R9)-SUM(K9:M9,Q9)</f>
        <v>-265.8187681297577</v>
      </c>
      <c r="T9" s="7">
        <f t="shared" si="0"/>
        <v>0</v>
      </c>
    </row>
    <row r="10" spans="1:20" x14ac:dyDescent="0.35">
      <c r="C10" s="21">
        <f>'Q.1.i'!C10</f>
        <v>3</v>
      </c>
      <c r="D10" s="5">
        <f>'Q.1.i'!D10</f>
        <v>42</v>
      </c>
      <c r="E10" s="14">
        <f t="shared" si="1"/>
        <v>0.85257553535803554</v>
      </c>
      <c r="F10" s="39">
        <f>VLOOKUP(D10,'Q.1.input'!$B$5:$C$46,2,FALSE)*80%</f>
        <v>1.6207094999999999E-3</v>
      </c>
      <c r="G10" s="22">
        <f>'Q.1.input'!K11</f>
        <v>0.05</v>
      </c>
      <c r="H10" s="21">
        <f>'Q.1.i'!F10</f>
        <v>2000</v>
      </c>
      <c r="I10" s="5">
        <f>'Q.1.i'!H10</f>
        <v>490</v>
      </c>
      <c r="J10" s="5">
        <f>'Q.1.i'!K10</f>
        <v>1000</v>
      </c>
      <c r="K10" s="5">
        <v>0</v>
      </c>
      <c r="L10" s="5">
        <f>'Q.1.input'!$K$5</f>
        <v>3000</v>
      </c>
      <c r="M10" s="27">
        <f t="shared" si="2"/>
        <v>2000</v>
      </c>
      <c r="N10" s="29">
        <f t="shared" si="3"/>
        <v>-75.5</v>
      </c>
      <c r="O10" s="7">
        <f>'Q.1.iii'!O10</f>
        <v>1703.3564488122415</v>
      </c>
      <c r="P10" s="7">
        <f>MAX($B$2-'Q.1.iii'!P10,0)</f>
        <v>1161032.0666863639</v>
      </c>
      <c r="Q10" s="38">
        <f t="shared" si="4"/>
        <v>1881.6957002832232</v>
      </c>
      <c r="R10" s="30">
        <f>'Q.1.iii'!R10</f>
        <v>2116.9076628186258</v>
      </c>
      <c r="S10" s="29">
        <f t="shared" si="5"/>
        <v>353.06841134764363</v>
      </c>
      <c r="T10" s="7">
        <f t="shared" si="0"/>
        <v>0</v>
      </c>
    </row>
    <row r="11" spans="1:20" x14ac:dyDescent="0.35">
      <c r="C11" s="21">
        <f>'Q.1.i'!C11</f>
        <v>4</v>
      </c>
      <c r="D11" s="5">
        <f>'Q.1.i'!D11</f>
        <v>43</v>
      </c>
      <c r="E11" s="14">
        <f t="shared" si="1"/>
        <v>0.80863407018399247</v>
      </c>
      <c r="F11" s="39">
        <f>VLOOKUP(D11,'Q.1.input'!$B$5:$C$46,2,FALSE)*80%</f>
        <v>1.7840619999999999E-3</v>
      </c>
      <c r="G11" s="22">
        <f>'Q.1.input'!K12</f>
        <v>0.02</v>
      </c>
      <c r="H11" s="21">
        <f>'Q.1.i'!F11</f>
        <v>2000</v>
      </c>
      <c r="I11" s="5">
        <f>'Q.1.i'!H11</f>
        <v>490</v>
      </c>
      <c r="J11" s="5">
        <f>'Q.1.i'!K11</f>
        <v>1000</v>
      </c>
      <c r="K11" s="5">
        <v>0</v>
      </c>
      <c r="L11" s="5">
        <f>'Q.1.input'!$K$5</f>
        <v>3000</v>
      </c>
      <c r="M11" s="27">
        <f t="shared" si="2"/>
        <v>2000</v>
      </c>
      <c r="N11" s="29">
        <f t="shared" si="3"/>
        <v>-75.5</v>
      </c>
      <c r="O11" s="7">
        <f>'Q.1.iii'!O11</f>
        <v>2383.485641079496</v>
      </c>
      <c r="P11" s="7">
        <f>MAX($B$2-'Q.1.iii'!P11,0)</f>
        <v>1025686.3574251803</v>
      </c>
      <c r="Q11" s="38">
        <f t="shared" si="4"/>
        <v>1829.8880542006818</v>
      </c>
      <c r="R11" s="30">
        <f>'Q.1.iii'!R11</f>
        <v>2058.624060975767</v>
      </c>
      <c r="S11" s="29">
        <f t="shared" si="5"/>
        <v>1026.7216478545815</v>
      </c>
      <c r="T11" s="7">
        <f t="shared" si="0"/>
        <v>0</v>
      </c>
    </row>
    <row r="12" spans="1:20" x14ac:dyDescent="0.35">
      <c r="C12" s="21">
        <f>'Q.1.i'!C12</f>
        <v>5</v>
      </c>
      <c r="D12" s="5">
        <f>'Q.1.i'!D12</f>
        <v>44</v>
      </c>
      <c r="E12" s="14">
        <f t="shared" si="1"/>
        <v>0.79104758853012247</v>
      </c>
      <c r="F12" s="39">
        <f>VLOOKUP(D12,'Q.1.input'!$B$5:$C$46,2,FALSE)*80%</f>
        <v>1.9732259999999998E-3</v>
      </c>
      <c r="G12" s="22">
        <f>'Q.1.input'!K13</f>
        <v>0.02</v>
      </c>
      <c r="H12" s="21">
        <f>'Q.1.i'!F12</f>
        <v>2000</v>
      </c>
      <c r="I12" s="5">
        <f>'Q.1.i'!H12</f>
        <v>490</v>
      </c>
      <c r="J12" s="5">
        <f>'Q.1.i'!K12</f>
        <v>1000</v>
      </c>
      <c r="K12" s="5">
        <v>0</v>
      </c>
      <c r="L12" s="5">
        <f>'Q.1.input'!$K$5</f>
        <v>3000</v>
      </c>
      <c r="M12" s="27">
        <f t="shared" si="2"/>
        <v>2000</v>
      </c>
      <c r="N12" s="29">
        <f t="shared" si="3"/>
        <v>-75.5</v>
      </c>
      <c r="O12" s="7">
        <f>'Q.1.iii'!O12</f>
        <v>3128.2076018261414</v>
      </c>
      <c r="P12" s="7">
        <f>MAX($B$2-'Q.1.iii'!P12,0)</f>
        <v>877486.68723659788</v>
      </c>
      <c r="Q12" s="38">
        <f t="shared" si="4"/>
        <v>1731.4795459091229</v>
      </c>
      <c r="R12" s="30">
        <f>'Q.1.iii'!R12</f>
        <v>1947.9144891477636</v>
      </c>
      <c r="S12" s="29">
        <f t="shared" si="5"/>
        <v>1759.142545064783</v>
      </c>
      <c r="T12" s="7">
        <f t="shared" si="0"/>
        <v>0</v>
      </c>
    </row>
    <row r="13" spans="1:20" x14ac:dyDescent="0.35">
      <c r="C13" s="21">
        <f>'Q.1.i'!C13</f>
        <v>6</v>
      </c>
      <c r="D13" s="5">
        <f>'Q.1.i'!D13</f>
        <v>45</v>
      </c>
      <c r="E13" s="14">
        <f t="shared" si="1"/>
        <v>0.77369693940397344</v>
      </c>
      <c r="F13" s="39">
        <f>VLOOKUP(D13,'Q.1.input'!$B$5:$C$46,2,FALSE)*80%</f>
        <v>2.1914504999999999E-3</v>
      </c>
      <c r="G13" s="22">
        <f>'Q.1.input'!K14</f>
        <v>0.01</v>
      </c>
      <c r="H13" s="21">
        <f>'Q.1.i'!F13</f>
        <v>1000</v>
      </c>
      <c r="I13" s="5">
        <f>'Q.1.i'!H13</f>
        <v>495</v>
      </c>
      <c r="J13" s="5">
        <f>'Q.1.i'!K13</f>
        <v>1000</v>
      </c>
      <c r="K13" s="5">
        <v>0</v>
      </c>
      <c r="L13" s="5">
        <f>'Q.1.input'!$K$5</f>
        <v>3000</v>
      </c>
      <c r="M13" s="27">
        <f t="shared" si="2"/>
        <v>1000</v>
      </c>
      <c r="N13" s="29">
        <f t="shared" si="3"/>
        <v>-75.25</v>
      </c>
      <c r="O13" s="7">
        <f>'Q.1.iii'!O13</f>
        <v>3949.3871905083988</v>
      </c>
      <c r="P13" s="7">
        <f>MAX($B$2-'Q.1.iii'!P13,0)</f>
        <v>714071.94908882864</v>
      </c>
      <c r="Q13" s="38">
        <f t="shared" si="4"/>
        <v>1564.853329866688</v>
      </c>
      <c r="R13" s="30">
        <f>'Q.1.iii'!R13</f>
        <v>1760.4599961000238</v>
      </c>
      <c r="S13" s="29">
        <f t="shared" si="5"/>
        <v>2564.7438567417348</v>
      </c>
      <c r="T13" s="7">
        <f t="shared" si="0"/>
        <v>0</v>
      </c>
    </row>
    <row r="14" spans="1:20" x14ac:dyDescent="0.35">
      <c r="C14" s="21">
        <f>'Q.1.i'!C14</f>
        <v>7</v>
      </c>
      <c r="D14" s="5">
        <f>'Q.1.i'!D14</f>
        <v>46</v>
      </c>
      <c r="E14" s="14">
        <f t="shared" si="1"/>
        <v>0.76428140665067545</v>
      </c>
      <c r="F14" s="39">
        <f>VLOOKUP(D14,'Q.1.input'!$B$5:$C$46,2,FALSE)*80%</f>
        <v>2.4416235000000001E-3</v>
      </c>
      <c r="G14" s="22">
        <f>'Q.1.input'!K15</f>
        <v>0.01</v>
      </c>
      <c r="H14" s="21">
        <f>'Q.1.i'!F14</f>
        <v>1000</v>
      </c>
      <c r="I14" s="5">
        <f>'Q.1.i'!H14</f>
        <v>495</v>
      </c>
      <c r="J14" s="5">
        <f>'Q.1.i'!K14</f>
        <v>1000</v>
      </c>
      <c r="K14" s="5">
        <v>0</v>
      </c>
      <c r="L14" s="5">
        <f>'Q.1.input'!$K$5</f>
        <v>3000</v>
      </c>
      <c r="M14" s="27">
        <f t="shared" si="2"/>
        <v>1000</v>
      </c>
      <c r="N14" s="29">
        <f t="shared" si="3"/>
        <v>-75.25</v>
      </c>
      <c r="O14" s="7">
        <f>'Q.1.iii'!O14</f>
        <v>4849.1992500328925</v>
      </c>
      <c r="P14" s="7">
        <f>MAX($B$2-'Q.1.iii'!P14,0)</f>
        <v>535009.3492434544</v>
      </c>
      <c r="Q14" s="38">
        <f t="shared" si="4"/>
        <v>1306.2913998325255</v>
      </c>
      <c r="R14" s="30">
        <f>'Q.1.iii'!R14</f>
        <v>1469.577824811591</v>
      </c>
      <c r="S14" s="29">
        <f t="shared" si="5"/>
        <v>3432.2356750119579</v>
      </c>
      <c r="T14" s="7">
        <f t="shared" si="0"/>
        <v>0</v>
      </c>
    </row>
    <row r="15" spans="1:20" x14ac:dyDescent="0.35">
      <c r="C15" s="21">
        <f>'Q.1.i'!C15</f>
        <v>8</v>
      </c>
      <c r="D15" s="5">
        <f>'Q.1.i'!D15</f>
        <v>47</v>
      </c>
      <c r="E15" s="14">
        <f t="shared" si="1"/>
        <v>0.75479116601550822</v>
      </c>
      <c r="F15" s="39">
        <f>VLOOKUP(D15,'Q.1.input'!$B$5:$C$46,2,FALSE)*80%</f>
        <v>2.7251889999999998E-3</v>
      </c>
      <c r="G15" s="22">
        <f>'Q.1.input'!K16</f>
        <v>0.01</v>
      </c>
      <c r="H15" s="21">
        <f>'Q.1.i'!F15</f>
        <v>1000</v>
      </c>
      <c r="I15" s="5">
        <f>'Q.1.i'!H15</f>
        <v>495</v>
      </c>
      <c r="J15" s="5">
        <f>'Q.1.i'!K15</f>
        <v>1000</v>
      </c>
      <c r="K15" s="5">
        <v>0</v>
      </c>
      <c r="L15" s="5">
        <f>'Q.1.input'!$K$5</f>
        <v>3000</v>
      </c>
      <c r="M15" s="27">
        <f t="shared" si="2"/>
        <v>1000</v>
      </c>
      <c r="N15" s="29">
        <f t="shared" si="3"/>
        <v>-75.25</v>
      </c>
      <c r="O15" s="7">
        <f>'Q.1.iii'!O15</f>
        <v>5835.6434011245365</v>
      </c>
      <c r="P15" s="7">
        <f>MAX($B$2-'Q.1.iii'!P15,0)</f>
        <v>338706.96317621716</v>
      </c>
      <c r="Q15" s="38">
        <f t="shared" si="4"/>
        <v>923.04049027123199</v>
      </c>
      <c r="R15" s="30">
        <f>'Q.1.iii'!R15</f>
        <v>1038.4205515551359</v>
      </c>
      <c r="S15" s="29">
        <f t="shared" si="5"/>
        <v>4370.7734624084414</v>
      </c>
      <c r="T15" s="7">
        <f t="shared" si="0"/>
        <v>0</v>
      </c>
    </row>
    <row r="16" spans="1:20" x14ac:dyDescent="0.35">
      <c r="C16" s="21">
        <f>'Q.1.i'!C16</f>
        <v>9</v>
      </c>
      <c r="D16" s="5">
        <f>'Q.1.i'!D16</f>
        <v>48</v>
      </c>
      <c r="E16" s="14">
        <f t="shared" si="1"/>
        <v>0.74520687525825979</v>
      </c>
      <c r="F16" s="39">
        <f>VLOOKUP(D16,'Q.1.input'!$B$5:$C$46,2,FALSE)*80%</f>
        <v>3.0417859999999994E-3</v>
      </c>
      <c r="G16" s="22">
        <f>'Q.1.input'!K17</f>
        <v>0.01</v>
      </c>
      <c r="H16" s="21">
        <f>'Q.1.i'!F16</f>
        <v>1000</v>
      </c>
      <c r="I16" s="5">
        <f>'Q.1.i'!H16</f>
        <v>495</v>
      </c>
      <c r="J16" s="5">
        <f>'Q.1.i'!K16</f>
        <v>1000</v>
      </c>
      <c r="K16" s="5">
        <v>0</v>
      </c>
      <c r="L16" s="5">
        <f>'Q.1.input'!$K$5</f>
        <v>3000</v>
      </c>
      <c r="M16" s="27">
        <f t="shared" si="2"/>
        <v>1000</v>
      </c>
      <c r="N16" s="29">
        <f t="shared" si="3"/>
        <v>-75.25</v>
      </c>
      <c r="O16" s="7">
        <f>'Q.1.iii'!O16</f>
        <v>6917.6778894972522</v>
      </c>
      <c r="P16" s="7">
        <f>MAX($B$2-'Q.1.iii'!P16,0)</f>
        <v>123382.09999004682</v>
      </c>
      <c r="Q16" s="38">
        <f t="shared" si="4"/>
        <v>375.30194440032449</v>
      </c>
      <c r="R16" s="30">
        <f>'Q.1.iii'!R16</f>
        <v>422.21468745036498</v>
      </c>
      <c r="S16" s="29">
        <f t="shared" si="5"/>
        <v>5384.3406325472924</v>
      </c>
      <c r="T16" s="7">
        <f t="shared" si="0"/>
        <v>0</v>
      </c>
    </row>
    <row r="17" spans="3:20" x14ac:dyDescent="0.35">
      <c r="C17" s="21">
        <f>'Q.1.i'!C17</f>
        <v>10</v>
      </c>
      <c r="D17" s="5">
        <f>'Q.1.i'!D17</f>
        <v>49</v>
      </c>
      <c r="E17" s="14">
        <f t="shared" si="1"/>
        <v>0.73551071426381542</v>
      </c>
      <c r="F17" s="39">
        <f>VLOOKUP(D17,'Q.1.input'!$B$5:$C$46,2,FALSE)*80%</f>
        <v>3.3894290000000002E-3</v>
      </c>
      <c r="G17" s="22">
        <f>'Q.1.input'!K18</f>
        <v>0.01</v>
      </c>
      <c r="H17" s="21">
        <f>'Q.1.i'!F17</f>
        <v>1000</v>
      </c>
      <c r="I17" s="5">
        <f>'Q.1.i'!H17</f>
        <v>495</v>
      </c>
      <c r="J17" s="5">
        <f>'Q.1.i'!K17</f>
        <v>1000</v>
      </c>
      <c r="K17" s="5">
        <v>0</v>
      </c>
      <c r="L17" s="5">
        <f>'Q.1.input'!$K$5</f>
        <v>3000</v>
      </c>
      <c r="M17" s="27">
        <f t="shared" si="2"/>
        <v>1000</v>
      </c>
      <c r="N17" s="29">
        <f t="shared" si="3"/>
        <v>-75.25</v>
      </c>
      <c r="O17" s="7">
        <f>'Q.1.iii'!O17</f>
        <v>8105.3537692737664</v>
      </c>
      <c r="P17" s="7">
        <f>MAX($B$2-'Q.1.iii'!P17,0)</f>
        <v>0</v>
      </c>
      <c r="Q17" s="38">
        <f t="shared" si="4"/>
        <v>0</v>
      </c>
      <c r="R17" s="30">
        <f>'Q.1.iii'!R17</f>
        <v>0</v>
      </c>
      <c r="S17" s="29">
        <f t="shared" si="5"/>
        <v>6525.1037692737664</v>
      </c>
      <c r="T17" s="7">
        <f t="shared" si="0"/>
        <v>0</v>
      </c>
    </row>
    <row r="18" spans="3:20" x14ac:dyDescent="0.35">
      <c r="C18" s="21">
        <f>'Q.1.i'!C18</f>
        <v>11</v>
      </c>
      <c r="D18" s="5">
        <f>'Q.1.i'!D18</f>
        <v>50</v>
      </c>
      <c r="E18" s="14">
        <f t="shared" si="1"/>
        <v>0.72568757538988815</v>
      </c>
      <c r="F18" s="39">
        <f>VLOOKUP(D18,'Q.1.input'!$B$5:$C$46,2,FALSE)*80%</f>
        <v>3.7646885000000001E-3</v>
      </c>
      <c r="G18" s="22">
        <f>'Q.1.input'!K19</f>
        <v>0.01</v>
      </c>
      <c r="H18" s="21">
        <f>'Q.1.i'!F18</f>
        <v>1000</v>
      </c>
      <c r="I18" s="5">
        <f>'Q.1.i'!H18</f>
        <v>495</v>
      </c>
      <c r="J18" s="5">
        <f>'Q.1.i'!K18</f>
        <v>1000</v>
      </c>
      <c r="K18" s="5">
        <v>0</v>
      </c>
      <c r="L18" s="5">
        <f>'Q.1.input'!$K$5</f>
        <v>3000</v>
      </c>
      <c r="M18" s="27">
        <f t="shared" si="2"/>
        <v>1000</v>
      </c>
      <c r="N18" s="29">
        <f t="shared" si="3"/>
        <v>-75.25</v>
      </c>
      <c r="O18" s="7">
        <f>'Q.1.iii'!O18</f>
        <v>9407.5872004701378</v>
      </c>
      <c r="P18" s="7">
        <f>MAX($B$2-'Q.1.iii'!P18,0)</f>
        <v>0</v>
      </c>
      <c r="Q18" s="38">
        <f t="shared" si="4"/>
        <v>0</v>
      </c>
      <c r="R18" s="30">
        <f>'Q.1.iii'!R18</f>
        <v>0</v>
      </c>
      <c r="S18" s="29">
        <f t="shared" si="5"/>
        <v>7827.3372004701378</v>
      </c>
      <c r="T18" s="7">
        <f t="shared" si="0"/>
        <v>0</v>
      </c>
    </row>
    <row r="19" spans="3:20" x14ac:dyDescent="0.35">
      <c r="C19" s="21">
        <f>'Q.1.i'!C19</f>
        <v>12</v>
      </c>
      <c r="D19" s="5">
        <f>'Q.1.i'!D19</f>
        <v>51</v>
      </c>
      <c r="E19" s="14">
        <f t="shared" si="1"/>
        <v>0.71572603184302264</v>
      </c>
      <c r="F19" s="39">
        <f>VLOOKUP(D19,'Q.1.input'!$B$5:$C$46,2,FALSE)*80%</f>
        <v>4.1635934999999999E-3</v>
      </c>
      <c r="G19" s="22">
        <f>'Q.1.input'!K20</f>
        <v>0.01</v>
      </c>
      <c r="H19" s="21">
        <f>'Q.1.i'!F19</f>
        <v>1000</v>
      </c>
      <c r="I19" s="5">
        <f>'Q.1.i'!H19</f>
        <v>495</v>
      </c>
      <c r="J19" s="5">
        <f>'Q.1.i'!K19</f>
        <v>1000</v>
      </c>
      <c r="K19" s="5">
        <v>0</v>
      </c>
      <c r="L19" s="5">
        <f>'Q.1.input'!$K$5</f>
        <v>3000</v>
      </c>
      <c r="M19" s="27">
        <f t="shared" si="2"/>
        <v>1000</v>
      </c>
      <c r="N19" s="29">
        <f t="shared" si="3"/>
        <v>-75.25</v>
      </c>
      <c r="O19" s="7">
        <f>'Q.1.iii'!O19</f>
        <v>10832.881690914566</v>
      </c>
      <c r="P19" s="7">
        <f>MAX($B$2-'Q.1.iii'!P19,0)</f>
        <v>0</v>
      </c>
      <c r="Q19" s="38">
        <f t="shared" si="4"/>
        <v>0</v>
      </c>
      <c r="R19" s="30">
        <f>'Q.1.iii'!R19</f>
        <v>0</v>
      </c>
      <c r="S19" s="29">
        <f t="shared" si="5"/>
        <v>9252.6316909145662</v>
      </c>
      <c r="T19" s="7">
        <f t="shared" si="0"/>
        <v>0</v>
      </c>
    </row>
    <row r="20" spans="3:20" x14ac:dyDescent="0.35">
      <c r="C20" s="21">
        <f>'Q.1.i'!C20</f>
        <v>13</v>
      </c>
      <c r="D20" s="5">
        <f>'Q.1.i'!D20</f>
        <v>52</v>
      </c>
      <c r="E20" s="14">
        <f t="shared" si="1"/>
        <v>0.70561857919316961</v>
      </c>
      <c r="F20" s="39">
        <f>VLOOKUP(D20,'Q.1.input'!$B$5:$C$46,2,FALSE)*80%</f>
        <v>4.5821729999999993E-3</v>
      </c>
      <c r="G20" s="22">
        <f>'Q.1.input'!K21</f>
        <v>0.01</v>
      </c>
      <c r="H20" s="21">
        <f>'Q.1.i'!F20</f>
        <v>1000</v>
      </c>
      <c r="I20" s="5">
        <f>'Q.1.i'!H20</f>
        <v>495</v>
      </c>
      <c r="J20" s="5">
        <f>'Q.1.i'!K20</f>
        <v>1000</v>
      </c>
      <c r="K20" s="5">
        <v>0</v>
      </c>
      <c r="L20" s="5">
        <f>'Q.1.input'!$K$5</f>
        <v>3000</v>
      </c>
      <c r="M20" s="27">
        <f t="shared" si="2"/>
        <v>1000</v>
      </c>
      <c r="N20" s="29">
        <f t="shared" si="3"/>
        <v>-75.25</v>
      </c>
      <c r="O20" s="7">
        <f>'Q.1.iii'!O20</f>
        <v>12392.866510705993</v>
      </c>
      <c r="P20" s="7">
        <f>MAX($B$2-'Q.1.iii'!P20,0)</f>
        <v>0</v>
      </c>
      <c r="Q20" s="38">
        <f t="shared" si="4"/>
        <v>0</v>
      </c>
      <c r="R20" s="30">
        <f>'Q.1.iii'!R20</f>
        <v>0</v>
      </c>
      <c r="S20" s="29">
        <f t="shared" si="5"/>
        <v>10812.616510705993</v>
      </c>
      <c r="T20" s="7">
        <f t="shared" si="0"/>
        <v>0</v>
      </c>
    </row>
    <row r="21" spans="3:20" x14ac:dyDescent="0.35">
      <c r="C21" s="21">
        <f>'Q.1.i'!C21</f>
        <v>14</v>
      </c>
      <c r="D21" s="5">
        <f>'Q.1.i'!D21</f>
        <v>53</v>
      </c>
      <c r="E21" s="14">
        <f t="shared" si="1"/>
        <v>0.69536145966337937</v>
      </c>
      <c r="F21" s="39">
        <f>VLOOKUP(D21,'Q.1.input'!$B$5:$C$46,2,FALSE)*80%</f>
        <v>5.0171780000000006E-3</v>
      </c>
      <c r="G21" s="22">
        <f>'Q.1.input'!K22</f>
        <v>0.01</v>
      </c>
      <c r="H21" s="21">
        <f>'Q.1.i'!F21</f>
        <v>1000</v>
      </c>
      <c r="I21" s="5">
        <f>'Q.1.i'!H21</f>
        <v>495</v>
      </c>
      <c r="J21" s="5">
        <f>'Q.1.i'!K21</f>
        <v>1000</v>
      </c>
      <c r="K21" s="5">
        <v>0</v>
      </c>
      <c r="L21" s="5">
        <f>'Q.1.input'!$K$5</f>
        <v>3000</v>
      </c>
      <c r="M21" s="27">
        <f t="shared" si="2"/>
        <v>1000</v>
      </c>
      <c r="N21" s="29">
        <f t="shared" si="3"/>
        <v>-75.25</v>
      </c>
      <c r="O21" s="7">
        <f>'Q.1.iii'!O21</f>
        <v>14100.269895967709</v>
      </c>
      <c r="P21" s="7">
        <f>MAX($B$2-'Q.1.iii'!P21,0)</f>
        <v>0</v>
      </c>
      <c r="Q21" s="38">
        <f t="shared" si="4"/>
        <v>0</v>
      </c>
      <c r="R21" s="30">
        <f>'Q.1.iii'!R21</f>
        <v>0</v>
      </c>
      <c r="S21" s="29">
        <f t="shared" si="5"/>
        <v>12520.019895967707</v>
      </c>
      <c r="T21" s="7">
        <f>MAX((T22-S22)/(1+$B$4),0)</f>
        <v>0</v>
      </c>
    </row>
    <row r="22" spans="3:20" ht="15" thickBot="1" x14ac:dyDescent="0.4">
      <c r="C22" s="23">
        <f>'Q.1.i'!C22</f>
        <v>15</v>
      </c>
      <c r="D22" s="24">
        <f>'Q.1.i'!D22</f>
        <v>54</v>
      </c>
      <c r="E22" s="25">
        <f t="shared" si="1"/>
        <v>0.68495398037144928</v>
      </c>
      <c r="F22" s="39">
        <f>VLOOKUP(D22,'Q.1.input'!$B$5:$C$46,2,FALSE)*80%</f>
        <v>5.4668034999999999E-3</v>
      </c>
      <c r="G22" s="26">
        <f>'Q.1.input'!K23</f>
        <v>0.01</v>
      </c>
      <c r="H22" s="23">
        <f>'Q.1.i'!F22</f>
        <v>1000</v>
      </c>
      <c r="I22" s="24">
        <f>'Q.1.i'!H22</f>
        <v>495</v>
      </c>
      <c r="J22" s="24">
        <f>'Q.1.i'!K22</f>
        <v>1000</v>
      </c>
      <c r="K22" s="24">
        <v>0</v>
      </c>
      <c r="L22" s="24">
        <f>'Q.1.input'!$K$5</f>
        <v>3000</v>
      </c>
      <c r="M22" s="28">
        <f t="shared" si="2"/>
        <v>1000</v>
      </c>
      <c r="N22" s="31">
        <f t="shared" si="3"/>
        <v>-75.25</v>
      </c>
      <c r="O22" s="32">
        <f>'Q.1.iii'!O22</f>
        <v>15969.022901136659</v>
      </c>
      <c r="P22" s="7">
        <f>MAX($B$2-'Q.1.iii'!P22,0)</f>
        <v>0</v>
      </c>
      <c r="Q22" s="38">
        <f t="shared" si="4"/>
        <v>0</v>
      </c>
      <c r="R22" s="30">
        <f>'Q.1.iii'!R22</f>
        <v>0</v>
      </c>
      <c r="S22" s="31">
        <f t="shared" si="5"/>
        <v>14388.772901136661</v>
      </c>
      <c r="T22" s="32">
        <f t="shared" ref="T22" si="6">(T23-S23)/(1+$B$4)</f>
        <v>0</v>
      </c>
    </row>
    <row r="25" spans="3:20" x14ac:dyDescent="0.35">
      <c r="Q25" s="96"/>
    </row>
    <row r="26" spans="3:20" x14ac:dyDescent="0.35">
      <c r="Q26" s="104"/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AC34-8CA8-4333-AB27-7A6A63D7CD0E}">
  <dimension ref="A1:Y27"/>
  <sheetViews>
    <sheetView showGridLines="0" zoomScaleNormal="100" workbookViewId="0"/>
  </sheetViews>
  <sheetFormatPr defaultRowHeight="14.5" x14ac:dyDescent="0.35"/>
  <cols>
    <col min="1" max="1" width="11.1796875" bestFit="1" customWidth="1"/>
    <col min="2" max="2" width="9.6328125" bestFit="1" customWidth="1"/>
    <col min="6" max="7" width="15.90625" bestFit="1" customWidth="1"/>
    <col min="8" max="8" width="12.36328125" customWidth="1"/>
    <col min="13" max="13" width="11.81640625" customWidth="1"/>
    <col min="14" max="14" width="8.81640625" bestFit="1" customWidth="1"/>
    <col min="15" max="15" width="9.6328125" bestFit="1" customWidth="1"/>
    <col min="16" max="16" width="12.1796875" bestFit="1" customWidth="1"/>
    <col min="17" max="17" width="12.1796875" customWidth="1"/>
    <col min="18" max="18" width="8.81640625" bestFit="1" customWidth="1"/>
    <col min="19" max="21" width="8.81640625" customWidth="1"/>
    <col min="22" max="23" width="9.81640625" bestFit="1" customWidth="1"/>
    <col min="24" max="24" width="8.81640625" bestFit="1" customWidth="1"/>
    <col min="25" max="25" width="9.36328125" bestFit="1" customWidth="1"/>
  </cols>
  <sheetData>
    <row r="1" spans="1:25" x14ac:dyDescent="0.35">
      <c r="A1" s="5" t="s">
        <v>13</v>
      </c>
      <c r="B1" s="5">
        <v>100000</v>
      </c>
    </row>
    <row r="2" spans="1:25" x14ac:dyDescent="0.35">
      <c r="A2" s="5" t="s">
        <v>14</v>
      </c>
      <c r="B2" s="7">
        <v>1500000</v>
      </c>
    </row>
    <row r="3" spans="1:25" x14ac:dyDescent="0.35">
      <c r="A3" s="5" t="s">
        <v>15</v>
      </c>
      <c r="B3" s="5">
        <v>40</v>
      </c>
      <c r="F3" s="2" t="s">
        <v>40</v>
      </c>
      <c r="G3" s="36">
        <f>SUM($Y$8:$Y$22)</f>
        <v>7649.1888155678726</v>
      </c>
      <c r="H3" s="96"/>
    </row>
    <row r="5" spans="1:25" ht="15" thickBot="1" x14ac:dyDescent="0.4">
      <c r="S5" s="96"/>
      <c r="T5" s="96"/>
      <c r="U5" s="96"/>
      <c r="V5" s="96"/>
      <c r="W5" s="96"/>
      <c r="X5" s="96"/>
      <c r="Y5" s="96"/>
    </row>
    <row r="6" spans="1:25" ht="58" x14ac:dyDescent="0.35">
      <c r="C6" s="15" t="s">
        <v>3</v>
      </c>
      <c r="D6" s="16" t="s">
        <v>1</v>
      </c>
      <c r="E6" s="17" t="s">
        <v>41</v>
      </c>
      <c r="F6" s="17" t="s">
        <v>30</v>
      </c>
      <c r="G6" s="18" t="s">
        <v>31</v>
      </c>
      <c r="H6" s="15" t="s">
        <v>25</v>
      </c>
      <c r="I6" s="17" t="s">
        <v>26</v>
      </c>
      <c r="J6" s="16" t="s">
        <v>18</v>
      </c>
      <c r="K6" s="17" t="s">
        <v>27</v>
      </c>
      <c r="L6" s="17" t="s">
        <v>6</v>
      </c>
      <c r="M6" s="18" t="s">
        <v>28</v>
      </c>
      <c r="N6" s="15" t="s">
        <v>29</v>
      </c>
      <c r="O6" s="17" t="s">
        <v>32</v>
      </c>
      <c r="P6" s="17" t="s">
        <v>46</v>
      </c>
      <c r="Q6" s="18" t="s">
        <v>34</v>
      </c>
      <c r="R6" s="105" t="s">
        <v>47</v>
      </c>
      <c r="S6" s="106" t="s">
        <v>145</v>
      </c>
      <c r="T6" s="40" t="s">
        <v>146</v>
      </c>
      <c r="U6" s="107" t="s">
        <v>144</v>
      </c>
      <c r="V6" s="15" t="s">
        <v>35</v>
      </c>
      <c r="W6" s="17" t="s">
        <v>36</v>
      </c>
      <c r="X6" s="17" t="s">
        <v>37</v>
      </c>
      <c r="Y6" s="18" t="s">
        <v>39</v>
      </c>
    </row>
    <row r="7" spans="1:25" x14ac:dyDescent="0.35">
      <c r="C7" s="19"/>
      <c r="G7" s="20"/>
      <c r="H7" s="19"/>
      <c r="M7" s="20"/>
      <c r="N7" s="19"/>
      <c r="S7" s="19"/>
      <c r="U7" s="20"/>
      <c r="V7" s="19"/>
      <c r="Y7" s="20"/>
    </row>
    <row r="8" spans="1:25" x14ac:dyDescent="0.35">
      <c r="C8" s="21">
        <f>'Q.1.i'!C8</f>
        <v>1</v>
      </c>
      <c r="D8" s="5">
        <f>'Q.1.i'!D8</f>
        <v>40</v>
      </c>
      <c r="E8" s="5">
        <v>1</v>
      </c>
      <c r="F8" s="5">
        <f>VLOOKUP(D8,'Q.1.input'!$B$5:$C$46,2,FALSE)*80%</f>
        <v>1.3579014999999999E-3</v>
      </c>
      <c r="G8" s="22">
        <f>'Q.1.input'!K9</f>
        <v>0.1</v>
      </c>
      <c r="H8" s="21">
        <f>'Q.1.i'!F8</f>
        <v>5000</v>
      </c>
      <c r="I8" s="5">
        <f>'Q.1.i'!H8</f>
        <v>475</v>
      </c>
      <c r="J8" s="5">
        <f>'Q.1.i'!K8</f>
        <v>1000</v>
      </c>
      <c r="K8" s="5">
        <f>'Q.1.input'!$K$4</f>
        <v>10000</v>
      </c>
      <c r="L8" s="5">
        <v>0</v>
      </c>
      <c r="M8" s="27">
        <f>H8</f>
        <v>5000</v>
      </c>
      <c r="N8" s="29">
        <f>(SUM(H8:J8)-SUM(K8:M8))*'Q.1.input'!$N$5</f>
        <v>-511.5</v>
      </c>
      <c r="O8" s="7">
        <f>'Q.1.iii'!O8</f>
        <v>514.38750000000005</v>
      </c>
      <c r="P8" s="7">
        <f>MAX($B$2-'Q.1.iii'!P8,0)</f>
        <v>1397636.8875</v>
      </c>
      <c r="Q8" s="38">
        <f>P8*F8</f>
        <v>1897.853225991581</v>
      </c>
      <c r="R8" s="38">
        <f>'Q.1.iii'!R8</f>
        <v>2135.0848792405286</v>
      </c>
      <c r="S8" s="29">
        <f>'Q.1.v'!T7</f>
        <v>0</v>
      </c>
      <c r="T8" s="41">
        <f>'Q.1.v'!T8*(1-F8-G8)</f>
        <v>227.50089105981939</v>
      </c>
      <c r="U8" s="61">
        <f>S8*'Q.1.input'!$N$5</f>
        <v>0</v>
      </c>
      <c r="V8" s="29">
        <f t="shared" ref="V8" si="0">SUM(H8:J8,N8:O8,R8)-SUM(K8:M8,Q8)+U8-(T8-S8)</f>
        <v>-8512.3817378108724</v>
      </c>
      <c r="W8" s="7">
        <f t="shared" ref="W8:W22" si="1">V8*E8</f>
        <v>-8512.3817378108724</v>
      </c>
      <c r="X8" s="34">
        <f>(1+'Q.1.input'!$G$27)^-C8</f>
        <v>0.88495575221238942</v>
      </c>
      <c r="Y8" s="30">
        <f>X8*W8</f>
        <v>-7533.0811839034277</v>
      </c>
    </row>
    <row r="9" spans="1:25" x14ac:dyDescent="0.35">
      <c r="C9" s="21">
        <f>'Q.1.i'!C9</f>
        <v>2</v>
      </c>
      <c r="D9" s="5">
        <f>'Q.1.i'!D9</f>
        <v>41</v>
      </c>
      <c r="E9" s="14">
        <f t="shared" ref="E9:E22" si="2">E8*(1-F8)*(1-G8)</f>
        <v>0.89877788864999997</v>
      </c>
      <c r="F9" s="5">
        <f>VLOOKUP(D9,'Q.1.input'!$B$5:$C$46,2,FALSE)*80%</f>
        <v>1.4797389999999999E-3</v>
      </c>
      <c r="G9" s="22">
        <f>'Q.1.input'!K10</f>
        <v>0.05</v>
      </c>
      <c r="H9" s="21">
        <f>'Q.1.i'!F9</f>
        <v>2000</v>
      </c>
      <c r="I9" s="5">
        <f>'Q.1.i'!H9</f>
        <v>490</v>
      </c>
      <c r="J9" s="5">
        <f>'Q.1.i'!K9</f>
        <v>1000</v>
      </c>
      <c r="K9" s="5">
        <v>0</v>
      </c>
      <c r="L9" s="5">
        <f>'Q.1.input'!$K$5</f>
        <v>3000</v>
      </c>
      <c r="M9" s="27">
        <f t="shared" ref="M9:M22" si="3">H9</f>
        <v>2000</v>
      </c>
      <c r="N9" s="29">
        <f>(SUM(H9:J9)-SUM(K9:M9))*'Q.1.input'!$N$5</f>
        <v>-90.6</v>
      </c>
      <c r="O9" s="7">
        <f>'Q.1.iii'!O9</f>
        <v>1082.0591519141772</v>
      </c>
      <c r="P9" s="7">
        <f>MAX($B$2-'Q.1.iii'!P9,0)</f>
        <v>1284670.2287690789</v>
      </c>
      <c r="Q9" s="38">
        <f t="shared" ref="Q9:Q22" si="4">P9*F9</f>
        <v>1900.9766396485279</v>
      </c>
      <c r="R9" s="38">
        <f>'Q.1.iii'!R9</f>
        <v>2138.5987196045935</v>
      </c>
      <c r="S9" s="29">
        <f>'Q.1.v'!T8</f>
        <v>253.16073155215017</v>
      </c>
      <c r="T9" s="41">
        <f>'Q.1.v'!T9*(1-F9-G9)</f>
        <v>0</v>
      </c>
      <c r="U9" s="61">
        <f>S9*'Q.1.input'!$N$5</f>
        <v>15.189643893129009</v>
      </c>
      <c r="V9" s="29">
        <f>SUM(H9:J9,N9:O9,R9)-SUM(K9:M9,Q9)+U9-(T9-S9)</f>
        <v>-12.568392684477971</v>
      </c>
      <c r="W9" s="7">
        <f t="shared" si="1"/>
        <v>-11.296193440679216</v>
      </c>
      <c r="X9" s="34">
        <f>(1+'Q.1.input'!$G$27)^-C9</f>
        <v>0.78314668337379612</v>
      </c>
      <c r="Y9" s="30">
        <f t="shared" ref="Y9:Y22" si="5">X9*W9</f>
        <v>-8.8465764278167587</v>
      </c>
    </row>
    <row r="10" spans="1:25" x14ac:dyDescent="0.35">
      <c r="C10" s="21">
        <f>'Q.1.i'!C10</f>
        <v>3</v>
      </c>
      <c r="D10" s="5">
        <f>'Q.1.i'!D10</f>
        <v>42</v>
      </c>
      <c r="E10" s="14">
        <f t="shared" si="2"/>
        <v>0.85257553535803554</v>
      </c>
      <c r="F10" s="5">
        <f>VLOOKUP(D10,'Q.1.input'!$B$5:$C$46,2,FALSE)*80%</f>
        <v>1.6207094999999999E-3</v>
      </c>
      <c r="G10" s="22">
        <f>'Q.1.input'!K11</f>
        <v>0.05</v>
      </c>
      <c r="H10" s="21">
        <f>'Q.1.i'!F10</f>
        <v>2000</v>
      </c>
      <c r="I10" s="5">
        <f>'Q.1.i'!H10</f>
        <v>490</v>
      </c>
      <c r="J10" s="5">
        <f>'Q.1.i'!K10</f>
        <v>1000</v>
      </c>
      <c r="K10" s="5">
        <v>0</v>
      </c>
      <c r="L10" s="5">
        <f>'Q.1.input'!$K$5</f>
        <v>3000</v>
      </c>
      <c r="M10" s="27">
        <f t="shared" si="3"/>
        <v>2000</v>
      </c>
      <c r="N10" s="29">
        <f>(SUM(H10:J10)-SUM(K10:M10))*'Q.1.input'!$N$5</f>
        <v>-90.6</v>
      </c>
      <c r="O10" s="7">
        <f>'Q.1.iii'!O10</f>
        <v>1703.3564488122415</v>
      </c>
      <c r="P10" s="7">
        <f>MAX($B$2-'Q.1.iii'!P10,0)</f>
        <v>1161032.0666863639</v>
      </c>
      <c r="Q10" s="38">
        <f t="shared" si="4"/>
        <v>1881.6957002832232</v>
      </c>
      <c r="R10" s="38">
        <f>'Q.1.iii'!R10</f>
        <v>2116.9076628186258</v>
      </c>
      <c r="S10" s="29">
        <f>'Q.1.v'!T9</f>
        <v>0</v>
      </c>
      <c r="T10" s="41">
        <f>'Q.1.v'!T10*(1-F10-G10)</f>
        <v>0</v>
      </c>
      <c r="U10" s="61">
        <f>S10*'Q.1.input'!$N$5</f>
        <v>0</v>
      </c>
      <c r="V10" s="29">
        <f t="shared" ref="V10:V22" si="6">SUM(H10:J10,N10:O10,R10)-SUM(K10:M10,Q10)+U10-(T10-S10)</f>
        <v>337.96841134764418</v>
      </c>
      <c r="W10" s="7">
        <f t="shared" si="1"/>
        <v>288.1435992388225</v>
      </c>
      <c r="X10" s="34">
        <f>(1+'Q.1.input'!$G$27)^-C10</f>
        <v>0.69305016227769578</v>
      </c>
      <c r="Y10" s="30">
        <f t="shared" si="5"/>
        <v>199.69796821174526</v>
      </c>
    </row>
    <row r="11" spans="1:25" x14ac:dyDescent="0.35">
      <c r="C11" s="21">
        <f>'Q.1.i'!C11</f>
        <v>4</v>
      </c>
      <c r="D11" s="5">
        <f>'Q.1.i'!D11</f>
        <v>43</v>
      </c>
      <c r="E11" s="14">
        <f t="shared" si="2"/>
        <v>0.80863407018399247</v>
      </c>
      <c r="F11" s="5">
        <f>VLOOKUP(D11,'Q.1.input'!$B$5:$C$46,2,FALSE)*80%</f>
        <v>1.7840619999999999E-3</v>
      </c>
      <c r="G11" s="22">
        <f>'Q.1.input'!K12</f>
        <v>0.02</v>
      </c>
      <c r="H11" s="21">
        <f>'Q.1.i'!F11</f>
        <v>2000</v>
      </c>
      <c r="I11" s="5">
        <f>'Q.1.i'!H11</f>
        <v>490</v>
      </c>
      <c r="J11" s="5">
        <f>'Q.1.i'!K11</f>
        <v>1000</v>
      </c>
      <c r="K11" s="5">
        <v>0</v>
      </c>
      <c r="L11" s="5">
        <f>'Q.1.input'!$K$5</f>
        <v>3000</v>
      </c>
      <c r="M11" s="27">
        <f t="shared" si="3"/>
        <v>2000</v>
      </c>
      <c r="N11" s="29">
        <f>(SUM(H11:J11)-SUM(K11:M11))*'Q.1.input'!$N$5</f>
        <v>-90.6</v>
      </c>
      <c r="O11" s="7">
        <f>'Q.1.iii'!O11</f>
        <v>2383.485641079496</v>
      </c>
      <c r="P11" s="7">
        <f>MAX($B$2-'Q.1.iii'!P11,0)</f>
        <v>1025686.3574251803</v>
      </c>
      <c r="Q11" s="38">
        <f t="shared" si="4"/>
        <v>1829.8880542006818</v>
      </c>
      <c r="R11" s="38">
        <f>'Q.1.iii'!R11</f>
        <v>2058.624060975767</v>
      </c>
      <c r="S11" s="29">
        <f>'Q.1.v'!T10</f>
        <v>0</v>
      </c>
      <c r="T11" s="41">
        <f>'Q.1.v'!T11*(1-F11-G11)</f>
        <v>0</v>
      </c>
      <c r="U11" s="61">
        <f>S11*'Q.1.input'!$N$5</f>
        <v>0</v>
      </c>
      <c r="V11" s="29">
        <f t="shared" si="6"/>
        <v>1011.6216478545812</v>
      </c>
      <c r="W11" s="7">
        <f t="shared" si="1"/>
        <v>818.03173059088749</v>
      </c>
      <c r="X11" s="34">
        <f>(1+'Q.1.input'!$G$27)^-C11</f>
        <v>0.61331872767937679</v>
      </c>
      <c r="Y11" s="30">
        <f t="shared" si="5"/>
        <v>501.71418020736184</v>
      </c>
    </row>
    <row r="12" spans="1:25" x14ac:dyDescent="0.35">
      <c r="C12" s="21">
        <f>'Q.1.i'!C12</f>
        <v>5</v>
      </c>
      <c r="D12" s="5">
        <f>'Q.1.i'!D12</f>
        <v>44</v>
      </c>
      <c r="E12" s="14">
        <f t="shared" si="2"/>
        <v>0.79104758853012247</v>
      </c>
      <c r="F12" s="5">
        <f>VLOOKUP(D12,'Q.1.input'!$B$5:$C$46,2,FALSE)*80%</f>
        <v>1.9732259999999998E-3</v>
      </c>
      <c r="G12" s="22">
        <f>'Q.1.input'!K13</f>
        <v>0.02</v>
      </c>
      <c r="H12" s="21">
        <f>'Q.1.i'!F12</f>
        <v>2000</v>
      </c>
      <c r="I12" s="5">
        <f>'Q.1.i'!H12</f>
        <v>490</v>
      </c>
      <c r="J12" s="5">
        <f>'Q.1.i'!K12</f>
        <v>1000</v>
      </c>
      <c r="K12" s="5">
        <v>0</v>
      </c>
      <c r="L12" s="5">
        <f>'Q.1.input'!$K$5</f>
        <v>3000</v>
      </c>
      <c r="M12" s="27">
        <f t="shared" si="3"/>
        <v>2000</v>
      </c>
      <c r="N12" s="29">
        <f>(SUM(H12:J12)-SUM(K12:M12))*'Q.1.input'!$N$5</f>
        <v>-90.6</v>
      </c>
      <c r="O12" s="7">
        <f>'Q.1.iii'!O12</f>
        <v>3128.2076018261414</v>
      </c>
      <c r="P12" s="7">
        <f>MAX($B$2-'Q.1.iii'!P12,0)</f>
        <v>877486.68723659788</v>
      </c>
      <c r="Q12" s="38">
        <f t="shared" si="4"/>
        <v>1731.4795459091229</v>
      </c>
      <c r="R12" s="38">
        <f>'Q.1.iii'!R12</f>
        <v>1947.9144891477636</v>
      </c>
      <c r="S12" s="29">
        <f>'Q.1.v'!T11</f>
        <v>0</v>
      </c>
      <c r="T12" s="41">
        <f>'Q.1.v'!T12*(1-F12-G12)</f>
        <v>0</v>
      </c>
      <c r="U12" s="61">
        <f>S12*'Q.1.input'!$N$5</f>
        <v>0</v>
      </c>
      <c r="V12" s="29">
        <f t="shared" si="6"/>
        <v>1744.0425450647808</v>
      </c>
      <c r="W12" s="7">
        <f t="shared" si="1"/>
        <v>1379.6206495674323</v>
      </c>
      <c r="X12" s="34">
        <f>(1+'Q.1.input'!$G$27)^-C12</f>
        <v>0.54275993599944861</v>
      </c>
      <c r="Y12" s="30">
        <f t="shared" si="5"/>
        <v>748.80281546273727</v>
      </c>
    </row>
    <row r="13" spans="1:25" x14ac:dyDescent="0.35">
      <c r="C13" s="21">
        <f>'Q.1.i'!C13</f>
        <v>6</v>
      </c>
      <c r="D13" s="5">
        <f>'Q.1.i'!D13</f>
        <v>45</v>
      </c>
      <c r="E13" s="14">
        <f t="shared" si="2"/>
        <v>0.77369693940397344</v>
      </c>
      <c r="F13" s="5">
        <f>VLOOKUP(D13,'Q.1.input'!$B$5:$C$46,2,FALSE)*80%</f>
        <v>2.1914504999999999E-3</v>
      </c>
      <c r="G13" s="22">
        <f>'Q.1.input'!K14</f>
        <v>0.01</v>
      </c>
      <c r="H13" s="21">
        <f>'Q.1.i'!F13</f>
        <v>1000</v>
      </c>
      <c r="I13" s="5">
        <f>'Q.1.i'!H13</f>
        <v>495</v>
      </c>
      <c r="J13" s="5">
        <f>'Q.1.i'!K13</f>
        <v>1000</v>
      </c>
      <c r="K13" s="5">
        <v>0</v>
      </c>
      <c r="L13" s="5">
        <f>'Q.1.input'!$K$5</f>
        <v>3000</v>
      </c>
      <c r="M13" s="27">
        <f t="shared" si="3"/>
        <v>1000</v>
      </c>
      <c r="N13" s="29">
        <f>(SUM(H13:J13)-SUM(K13:M13))*'Q.1.input'!$N$5</f>
        <v>-90.3</v>
      </c>
      <c r="O13" s="7">
        <f>'Q.1.iii'!O13</f>
        <v>3949.3871905083988</v>
      </c>
      <c r="P13" s="7">
        <f>MAX($B$2-'Q.1.iii'!P13,0)</f>
        <v>714071.94908882864</v>
      </c>
      <c r="Q13" s="38">
        <f t="shared" si="4"/>
        <v>1564.853329866688</v>
      </c>
      <c r="R13" s="38">
        <f>'Q.1.iii'!R13</f>
        <v>1760.4599961000238</v>
      </c>
      <c r="S13" s="29">
        <f>'Q.1.v'!T12</f>
        <v>0</v>
      </c>
      <c r="T13" s="41">
        <f>'Q.1.v'!T13*(1-F13-G13)</f>
        <v>0</v>
      </c>
      <c r="U13" s="61">
        <f>S13*'Q.1.input'!$N$5</f>
        <v>0</v>
      </c>
      <c r="V13" s="29">
        <f t="shared" si="6"/>
        <v>2549.6938567417346</v>
      </c>
      <c r="W13" s="7">
        <f t="shared" si="1"/>
        <v>1972.6903333781931</v>
      </c>
      <c r="X13" s="34">
        <f>(1+'Q.1.input'!$G$27)^-C13</f>
        <v>0.48031852743314046</v>
      </c>
      <c r="Y13" s="30">
        <f t="shared" si="5"/>
        <v>947.51971600980471</v>
      </c>
    </row>
    <row r="14" spans="1:25" x14ac:dyDescent="0.35">
      <c r="C14" s="21">
        <f>'Q.1.i'!C14</f>
        <v>7</v>
      </c>
      <c r="D14" s="5">
        <f>'Q.1.i'!D14</f>
        <v>46</v>
      </c>
      <c r="E14" s="14">
        <f t="shared" si="2"/>
        <v>0.76428140665067545</v>
      </c>
      <c r="F14" s="5">
        <f>VLOOKUP(D14,'Q.1.input'!$B$5:$C$46,2,FALSE)*80%</f>
        <v>2.4416235000000001E-3</v>
      </c>
      <c r="G14" s="22">
        <f>'Q.1.input'!K15</f>
        <v>0.01</v>
      </c>
      <c r="H14" s="21">
        <f>'Q.1.i'!F14</f>
        <v>1000</v>
      </c>
      <c r="I14" s="5">
        <f>'Q.1.i'!H14</f>
        <v>495</v>
      </c>
      <c r="J14" s="5">
        <f>'Q.1.i'!K14</f>
        <v>1000</v>
      </c>
      <c r="K14" s="5">
        <v>0</v>
      </c>
      <c r="L14" s="5">
        <f>'Q.1.input'!$K$5</f>
        <v>3000</v>
      </c>
      <c r="M14" s="27">
        <f t="shared" si="3"/>
        <v>1000</v>
      </c>
      <c r="N14" s="29">
        <f>(SUM(H14:J14)-SUM(K14:M14))*'Q.1.input'!$N$5</f>
        <v>-90.3</v>
      </c>
      <c r="O14" s="7">
        <f>'Q.1.iii'!O14</f>
        <v>4849.1992500328925</v>
      </c>
      <c r="P14" s="7">
        <f>MAX($B$2-'Q.1.iii'!P14,0)</f>
        <v>535009.3492434544</v>
      </c>
      <c r="Q14" s="38">
        <f t="shared" si="4"/>
        <v>1306.2913998325255</v>
      </c>
      <c r="R14" s="38">
        <f>'Q.1.iii'!R14</f>
        <v>1469.577824811591</v>
      </c>
      <c r="S14" s="29">
        <f>'Q.1.v'!T13</f>
        <v>0</v>
      </c>
      <c r="T14" s="41">
        <f>'Q.1.v'!T14*(1-F14-G14)</f>
        <v>0</v>
      </c>
      <c r="U14" s="61">
        <f>S14*'Q.1.input'!$N$5</f>
        <v>0</v>
      </c>
      <c r="V14" s="29">
        <f t="shared" si="6"/>
        <v>3417.1856750119568</v>
      </c>
      <c r="W14" s="7">
        <f t="shared" si="1"/>
        <v>2611.6914744846763</v>
      </c>
      <c r="X14" s="34">
        <f>(1+'Q.1.input'!$G$27)^-C14</f>
        <v>0.425060643746142</v>
      </c>
      <c r="Y14" s="30">
        <f t="shared" si="5"/>
        <v>1110.1272594107672</v>
      </c>
    </row>
    <row r="15" spans="1:25" x14ac:dyDescent="0.35">
      <c r="C15" s="21">
        <f>'Q.1.i'!C15</f>
        <v>8</v>
      </c>
      <c r="D15" s="5">
        <f>'Q.1.i'!D15</f>
        <v>47</v>
      </c>
      <c r="E15" s="14">
        <f t="shared" si="2"/>
        <v>0.75479116601550822</v>
      </c>
      <c r="F15" s="5">
        <f>VLOOKUP(D15,'Q.1.input'!$B$5:$C$46,2,FALSE)*80%</f>
        <v>2.7251889999999998E-3</v>
      </c>
      <c r="G15" s="22">
        <f>'Q.1.input'!K16</f>
        <v>0.01</v>
      </c>
      <c r="H15" s="21">
        <f>'Q.1.i'!F15</f>
        <v>1000</v>
      </c>
      <c r="I15" s="5">
        <f>'Q.1.i'!H15</f>
        <v>495</v>
      </c>
      <c r="J15" s="5">
        <f>'Q.1.i'!K15</f>
        <v>1000</v>
      </c>
      <c r="K15" s="5">
        <v>0</v>
      </c>
      <c r="L15" s="5">
        <f>'Q.1.input'!$K$5</f>
        <v>3000</v>
      </c>
      <c r="M15" s="27">
        <f t="shared" si="3"/>
        <v>1000</v>
      </c>
      <c r="N15" s="29">
        <f>(SUM(H15:J15)-SUM(K15:M15))*'Q.1.input'!$N$5</f>
        <v>-90.3</v>
      </c>
      <c r="O15" s="7">
        <f>'Q.1.iii'!O15</f>
        <v>5835.6434011245365</v>
      </c>
      <c r="P15" s="7">
        <f>MAX($B$2-'Q.1.iii'!P15,0)</f>
        <v>338706.96317621716</v>
      </c>
      <c r="Q15" s="38">
        <f t="shared" si="4"/>
        <v>923.04049027123199</v>
      </c>
      <c r="R15" s="38">
        <f>'Q.1.iii'!R15</f>
        <v>1038.4205515551359</v>
      </c>
      <c r="S15" s="29">
        <f>'Q.1.v'!T14</f>
        <v>0</v>
      </c>
      <c r="T15" s="41">
        <f>'Q.1.v'!T15*(1-F15-G15)</f>
        <v>0</v>
      </c>
      <c r="U15" s="61">
        <f>S15*'Q.1.input'!$N$5</f>
        <v>0</v>
      </c>
      <c r="V15" s="29">
        <f t="shared" si="6"/>
        <v>4355.7234624084422</v>
      </c>
      <c r="W15" s="7">
        <f t="shared" si="1"/>
        <v>3287.6615910323749</v>
      </c>
      <c r="X15" s="34">
        <f>(1+'Q.1.input'!$G$27)^-C15</f>
        <v>0.37615986172224958</v>
      </c>
      <c r="Y15" s="30">
        <f t="shared" si="5"/>
        <v>1236.6863294722891</v>
      </c>
    </row>
    <row r="16" spans="1:25" x14ac:dyDescent="0.35">
      <c r="C16" s="21">
        <f>'Q.1.i'!C16</f>
        <v>9</v>
      </c>
      <c r="D16" s="5">
        <f>'Q.1.i'!D16</f>
        <v>48</v>
      </c>
      <c r="E16" s="14">
        <f t="shared" si="2"/>
        <v>0.74520687525825979</v>
      </c>
      <c r="F16" s="5">
        <f>VLOOKUP(D16,'Q.1.input'!$B$5:$C$46,2,FALSE)*80%</f>
        <v>3.0417859999999994E-3</v>
      </c>
      <c r="G16" s="22">
        <f>'Q.1.input'!K17</f>
        <v>0.01</v>
      </c>
      <c r="H16" s="21">
        <f>'Q.1.i'!F16</f>
        <v>1000</v>
      </c>
      <c r="I16" s="5">
        <f>'Q.1.i'!H16</f>
        <v>495</v>
      </c>
      <c r="J16" s="5">
        <f>'Q.1.i'!K16</f>
        <v>1000</v>
      </c>
      <c r="K16" s="5">
        <v>0</v>
      </c>
      <c r="L16" s="5">
        <f>'Q.1.input'!$K$5</f>
        <v>3000</v>
      </c>
      <c r="M16" s="27">
        <f t="shared" si="3"/>
        <v>1000</v>
      </c>
      <c r="N16" s="29">
        <f>(SUM(H16:J16)-SUM(K16:M16))*'Q.1.input'!$N$5</f>
        <v>-90.3</v>
      </c>
      <c r="O16" s="7">
        <f>'Q.1.iii'!O16</f>
        <v>6917.6778894972522</v>
      </c>
      <c r="P16" s="7">
        <f>MAX($B$2-'Q.1.iii'!P16,0)</f>
        <v>123382.09999004682</v>
      </c>
      <c r="Q16" s="38">
        <f t="shared" si="4"/>
        <v>375.30194440032449</v>
      </c>
      <c r="R16" s="38">
        <f>'Q.1.iii'!R16</f>
        <v>422.21468745036498</v>
      </c>
      <c r="S16" s="29">
        <f>'Q.1.v'!T15</f>
        <v>0</v>
      </c>
      <c r="T16" s="41">
        <f>'Q.1.v'!T16*(1-F16-G16)</f>
        <v>0</v>
      </c>
      <c r="U16" s="61">
        <f>S16*'Q.1.input'!$N$5</f>
        <v>0</v>
      </c>
      <c r="V16" s="29">
        <f t="shared" si="6"/>
        <v>5369.2906325472932</v>
      </c>
      <c r="W16" s="7">
        <f t="shared" si="1"/>
        <v>4001.2322946340137</v>
      </c>
      <c r="X16" s="34">
        <f>(1+'Q.1.input'!$G$27)^-C16</f>
        <v>0.33288483338252178</v>
      </c>
      <c r="Y16" s="30">
        <f t="shared" si="5"/>
        <v>1331.9495457240089</v>
      </c>
    </row>
    <row r="17" spans="3:25" x14ac:dyDescent="0.35">
      <c r="C17" s="21">
        <f>'Q.1.i'!C17</f>
        <v>10</v>
      </c>
      <c r="D17" s="5">
        <f>'Q.1.i'!D17</f>
        <v>49</v>
      </c>
      <c r="E17" s="14">
        <f t="shared" si="2"/>
        <v>0.73551071426381542</v>
      </c>
      <c r="F17" s="5">
        <f>VLOOKUP(D17,'Q.1.input'!$B$5:$C$46,2,FALSE)*80%</f>
        <v>3.3894290000000002E-3</v>
      </c>
      <c r="G17" s="22">
        <f>'Q.1.input'!K18</f>
        <v>0.01</v>
      </c>
      <c r="H17" s="21">
        <f>'Q.1.i'!F17</f>
        <v>1000</v>
      </c>
      <c r="I17" s="5">
        <f>'Q.1.i'!H17</f>
        <v>495</v>
      </c>
      <c r="J17" s="5">
        <f>'Q.1.i'!K17</f>
        <v>1000</v>
      </c>
      <c r="K17" s="5">
        <v>0</v>
      </c>
      <c r="L17" s="5">
        <f>'Q.1.input'!$K$5</f>
        <v>3000</v>
      </c>
      <c r="M17" s="27">
        <f t="shared" si="3"/>
        <v>1000</v>
      </c>
      <c r="N17" s="29">
        <f>(SUM(H17:J17)-SUM(K17:M17))*'Q.1.input'!$N$5</f>
        <v>-90.3</v>
      </c>
      <c r="O17" s="7">
        <f>'Q.1.iii'!O17</f>
        <v>8105.3537692737664</v>
      </c>
      <c r="P17" s="7">
        <f>MAX($B$2-'Q.1.iii'!P17,0)</f>
        <v>0</v>
      </c>
      <c r="Q17" s="38">
        <f t="shared" si="4"/>
        <v>0</v>
      </c>
      <c r="R17" s="38">
        <f>'Q.1.iii'!R17</f>
        <v>0</v>
      </c>
      <c r="S17" s="29">
        <f>'Q.1.v'!T16</f>
        <v>0</v>
      </c>
      <c r="T17" s="41">
        <f>'Q.1.v'!T17*(1-F17-G17)</f>
        <v>0</v>
      </c>
      <c r="U17" s="61">
        <f>S17*'Q.1.input'!$N$5</f>
        <v>0</v>
      </c>
      <c r="V17" s="29">
        <f t="shared" si="6"/>
        <v>6510.0537692737671</v>
      </c>
      <c r="W17" s="7">
        <f t="shared" si="1"/>
        <v>4788.2142977343919</v>
      </c>
      <c r="X17" s="34">
        <f>(1+'Q.1.input'!$G$27)^-C17</f>
        <v>0.2945883481261255</v>
      </c>
      <c r="Y17" s="30">
        <f t="shared" si="5"/>
        <v>1410.5521404434705</v>
      </c>
    </row>
    <row r="18" spans="3:25" x14ac:dyDescent="0.35">
      <c r="C18" s="21">
        <f>'Q.1.i'!C18</f>
        <v>11</v>
      </c>
      <c r="D18" s="5">
        <f>'Q.1.i'!D18</f>
        <v>50</v>
      </c>
      <c r="E18" s="14">
        <f t="shared" si="2"/>
        <v>0.72568757538988815</v>
      </c>
      <c r="F18" s="5">
        <f>VLOOKUP(D18,'Q.1.input'!$B$5:$C$46,2,FALSE)*80%</f>
        <v>3.7646885000000001E-3</v>
      </c>
      <c r="G18" s="22">
        <f>'Q.1.input'!K19</f>
        <v>0.01</v>
      </c>
      <c r="H18" s="21">
        <f>'Q.1.i'!F18</f>
        <v>1000</v>
      </c>
      <c r="I18" s="5">
        <f>'Q.1.i'!H18</f>
        <v>495</v>
      </c>
      <c r="J18" s="5">
        <f>'Q.1.i'!K18</f>
        <v>1000</v>
      </c>
      <c r="K18" s="5">
        <v>0</v>
      </c>
      <c r="L18" s="5">
        <f>'Q.1.input'!$K$5</f>
        <v>3000</v>
      </c>
      <c r="M18" s="27">
        <f t="shared" si="3"/>
        <v>1000</v>
      </c>
      <c r="N18" s="29">
        <f>(SUM(H18:J18)-SUM(K18:M18))*'Q.1.input'!$N$5</f>
        <v>-90.3</v>
      </c>
      <c r="O18" s="7">
        <f>'Q.1.iii'!O18</f>
        <v>9407.5872004701378</v>
      </c>
      <c r="P18" s="7">
        <f>MAX($B$2-'Q.1.iii'!P18,0)</f>
        <v>0</v>
      </c>
      <c r="Q18" s="38">
        <f t="shared" si="4"/>
        <v>0</v>
      </c>
      <c r="R18" s="38">
        <f>'Q.1.iii'!R18</f>
        <v>0</v>
      </c>
      <c r="S18" s="29">
        <f>'Q.1.v'!T17</f>
        <v>0</v>
      </c>
      <c r="T18" s="41">
        <f>'Q.1.v'!T18*(1-F18-G18)</f>
        <v>0</v>
      </c>
      <c r="U18" s="61">
        <f>S18*'Q.1.input'!$N$5</f>
        <v>0</v>
      </c>
      <c r="V18" s="29">
        <f t="shared" si="6"/>
        <v>7812.2872004701385</v>
      </c>
      <c r="W18" s="7">
        <f t="shared" si="1"/>
        <v>5669.2797567586322</v>
      </c>
      <c r="X18" s="34">
        <f>(1+'Q.1.input'!$G$27)^-C18</f>
        <v>0.26069765320896066</v>
      </c>
      <c r="Y18" s="30">
        <f t="shared" si="5"/>
        <v>1477.9679279720426</v>
      </c>
    </row>
    <row r="19" spans="3:25" x14ac:dyDescent="0.35">
      <c r="C19" s="21">
        <f>'Q.1.i'!C19</f>
        <v>12</v>
      </c>
      <c r="D19" s="5">
        <f>'Q.1.i'!D19</f>
        <v>51</v>
      </c>
      <c r="E19" s="14">
        <f t="shared" si="2"/>
        <v>0.71572603184302264</v>
      </c>
      <c r="F19" s="5">
        <f>VLOOKUP(D19,'Q.1.input'!$B$5:$C$46,2,FALSE)*80%</f>
        <v>4.1635934999999999E-3</v>
      </c>
      <c r="G19" s="22">
        <f>'Q.1.input'!K20</f>
        <v>0.01</v>
      </c>
      <c r="H19" s="21">
        <f>'Q.1.i'!F19</f>
        <v>1000</v>
      </c>
      <c r="I19" s="5">
        <f>'Q.1.i'!H19</f>
        <v>495</v>
      </c>
      <c r="J19" s="5">
        <f>'Q.1.i'!K19</f>
        <v>1000</v>
      </c>
      <c r="K19" s="5">
        <v>0</v>
      </c>
      <c r="L19" s="5">
        <f>'Q.1.input'!$K$5</f>
        <v>3000</v>
      </c>
      <c r="M19" s="27">
        <f t="shared" si="3"/>
        <v>1000</v>
      </c>
      <c r="N19" s="29">
        <f>(SUM(H19:J19)-SUM(K19:M19))*'Q.1.input'!$N$5</f>
        <v>-90.3</v>
      </c>
      <c r="O19" s="7">
        <f>'Q.1.iii'!O19</f>
        <v>10832.881690914566</v>
      </c>
      <c r="P19" s="7">
        <f>MAX($B$2-'Q.1.iii'!P19,0)</f>
        <v>0</v>
      </c>
      <c r="Q19" s="38">
        <f t="shared" si="4"/>
        <v>0</v>
      </c>
      <c r="R19" s="38">
        <f>'Q.1.iii'!R19</f>
        <v>0</v>
      </c>
      <c r="S19" s="29">
        <f>'Q.1.v'!T18</f>
        <v>0</v>
      </c>
      <c r="T19" s="41">
        <f>'Q.1.v'!T19*(1-F19-G19)</f>
        <v>0</v>
      </c>
      <c r="U19" s="61">
        <f>S19*'Q.1.input'!$N$5</f>
        <v>0</v>
      </c>
      <c r="V19" s="29">
        <f t="shared" si="6"/>
        <v>9237.5816909145651</v>
      </c>
      <c r="W19" s="7">
        <f t="shared" si="1"/>
        <v>6611.5776874640405</v>
      </c>
      <c r="X19" s="34">
        <f>(1+'Q.1.input'!$G$27)^-C19</f>
        <v>0.23070588779554044</v>
      </c>
      <c r="Y19" s="30">
        <f t="shared" si="5"/>
        <v>1525.3299001155776</v>
      </c>
    </row>
    <row r="20" spans="3:25" x14ac:dyDescent="0.35">
      <c r="C20" s="21">
        <f>'Q.1.i'!C20</f>
        <v>13</v>
      </c>
      <c r="D20" s="5">
        <f>'Q.1.i'!D20</f>
        <v>52</v>
      </c>
      <c r="E20" s="14">
        <f t="shared" si="2"/>
        <v>0.70561857919316961</v>
      </c>
      <c r="F20" s="5">
        <f>VLOOKUP(D20,'Q.1.input'!$B$5:$C$46,2,FALSE)*80%</f>
        <v>4.5821729999999993E-3</v>
      </c>
      <c r="G20" s="22">
        <f>'Q.1.input'!K21</f>
        <v>0.01</v>
      </c>
      <c r="H20" s="21">
        <f>'Q.1.i'!F20</f>
        <v>1000</v>
      </c>
      <c r="I20" s="5">
        <f>'Q.1.i'!H20</f>
        <v>495</v>
      </c>
      <c r="J20" s="5">
        <f>'Q.1.i'!K20</f>
        <v>1000</v>
      </c>
      <c r="K20" s="5">
        <v>0</v>
      </c>
      <c r="L20" s="5">
        <f>'Q.1.input'!$K$5</f>
        <v>3000</v>
      </c>
      <c r="M20" s="27">
        <f t="shared" si="3"/>
        <v>1000</v>
      </c>
      <c r="N20" s="29">
        <f>(SUM(H20:J20)-SUM(K20:M20))*'Q.1.input'!$N$5</f>
        <v>-90.3</v>
      </c>
      <c r="O20" s="7">
        <f>'Q.1.iii'!O20</f>
        <v>12392.866510705993</v>
      </c>
      <c r="P20" s="7">
        <f>MAX($B$2-'Q.1.iii'!P20,0)</f>
        <v>0</v>
      </c>
      <c r="Q20" s="38">
        <f t="shared" si="4"/>
        <v>0</v>
      </c>
      <c r="R20" s="38">
        <f>'Q.1.iii'!R20</f>
        <v>0</v>
      </c>
      <c r="S20" s="29">
        <f>'Q.1.v'!T19</f>
        <v>0</v>
      </c>
      <c r="T20" s="41">
        <f>'Q.1.v'!T20*(1-F20-G20)</f>
        <v>0</v>
      </c>
      <c r="U20" s="61">
        <f>S20*'Q.1.input'!$N$5</f>
        <v>0</v>
      </c>
      <c r="V20" s="29">
        <f t="shared" si="6"/>
        <v>10797.566510705994</v>
      </c>
      <c r="W20" s="7">
        <f t="shared" si="1"/>
        <v>7618.9635400281131</v>
      </c>
      <c r="X20" s="34">
        <f>(1+'Q.1.input'!$G$27)^-C20</f>
        <v>0.20416450247392959</v>
      </c>
      <c r="Y20" s="30">
        <f t="shared" si="5"/>
        <v>1555.521900516849</v>
      </c>
    </row>
    <row r="21" spans="3:25" x14ac:dyDescent="0.35">
      <c r="C21" s="21">
        <f>'Q.1.i'!C21</f>
        <v>14</v>
      </c>
      <c r="D21" s="5">
        <f>'Q.1.i'!D21</f>
        <v>53</v>
      </c>
      <c r="E21" s="14">
        <f t="shared" si="2"/>
        <v>0.69536145966337937</v>
      </c>
      <c r="F21" s="5">
        <f>VLOOKUP(D21,'Q.1.input'!$B$5:$C$46,2,FALSE)*80%</f>
        <v>5.0171780000000006E-3</v>
      </c>
      <c r="G21" s="22">
        <f>'Q.1.input'!K22</f>
        <v>0.01</v>
      </c>
      <c r="H21" s="21">
        <f>'Q.1.i'!F21</f>
        <v>1000</v>
      </c>
      <c r="I21" s="5">
        <f>'Q.1.i'!H21</f>
        <v>495</v>
      </c>
      <c r="J21" s="5">
        <f>'Q.1.i'!K21</f>
        <v>1000</v>
      </c>
      <c r="K21" s="5">
        <v>0</v>
      </c>
      <c r="L21" s="5">
        <f>'Q.1.input'!$K$5</f>
        <v>3000</v>
      </c>
      <c r="M21" s="27">
        <f t="shared" si="3"/>
        <v>1000</v>
      </c>
      <c r="N21" s="29">
        <f>(SUM(H21:J21)-SUM(K21:M21))*'Q.1.input'!$N$5</f>
        <v>-90.3</v>
      </c>
      <c r="O21" s="7">
        <f>'Q.1.iii'!O21</f>
        <v>14100.269895967709</v>
      </c>
      <c r="P21" s="7">
        <f>MAX($B$2-'Q.1.iii'!P21,0)</f>
        <v>0</v>
      </c>
      <c r="Q21" s="38">
        <f t="shared" si="4"/>
        <v>0</v>
      </c>
      <c r="R21" s="38">
        <f>'Q.1.iii'!R21</f>
        <v>0</v>
      </c>
      <c r="S21" s="29">
        <f>'Q.1.v'!T20</f>
        <v>0</v>
      </c>
      <c r="T21" s="41">
        <f>'Q.1.v'!T21*(1-F21-G21)</f>
        <v>0</v>
      </c>
      <c r="U21" s="61">
        <f>S21*'Q.1.input'!$N$5</f>
        <v>0</v>
      </c>
      <c r="V21" s="29">
        <f t="shared" si="6"/>
        <v>12504.969895967708</v>
      </c>
      <c r="W21" s="7">
        <f t="shared" si="1"/>
        <v>8695.474119906723</v>
      </c>
      <c r="X21" s="34">
        <f>(1+'Q.1.input'!$G$27)^-C21</f>
        <v>0.18067655086188467</v>
      </c>
      <c r="Y21" s="30">
        <f t="shared" si="5"/>
        <v>1571.0682720935288</v>
      </c>
    </row>
    <row r="22" spans="3:25" ht="15" thickBot="1" x14ac:dyDescent="0.4">
      <c r="C22" s="23">
        <f>'Q.1.i'!C22</f>
        <v>15</v>
      </c>
      <c r="D22" s="24">
        <f>'Q.1.i'!D22</f>
        <v>54</v>
      </c>
      <c r="E22" s="25">
        <f t="shared" si="2"/>
        <v>0.68495398037144928</v>
      </c>
      <c r="F22" s="24">
        <f>VLOOKUP(D22,'Q.1.input'!$B$5:$C$46,2,FALSE)*80%</f>
        <v>5.4668034999999999E-3</v>
      </c>
      <c r="G22" s="26">
        <f>'Q.1.input'!K23</f>
        <v>0.01</v>
      </c>
      <c r="H22" s="23">
        <f>'Q.1.i'!F22</f>
        <v>1000</v>
      </c>
      <c r="I22" s="24">
        <f>'Q.1.i'!H22</f>
        <v>495</v>
      </c>
      <c r="J22" s="24">
        <f>'Q.1.i'!K22</f>
        <v>1000</v>
      </c>
      <c r="K22" s="24">
        <v>0</v>
      </c>
      <c r="L22" s="24">
        <f>'Q.1.input'!$K$5</f>
        <v>3000</v>
      </c>
      <c r="M22" s="28">
        <f t="shared" si="3"/>
        <v>1000</v>
      </c>
      <c r="N22" s="31">
        <f>(SUM(H22:J22)-SUM(K22:M22))*'Q.1.input'!$N$5</f>
        <v>-90.3</v>
      </c>
      <c r="O22" s="7">
        <f>'Q.1.iii'!O22</f>
        <v>15969.022901136659</v>
      </c>
      <c r="P22" s="7">
        <f>MAX($B$2-'Q.1.iii'!P22,0)</f>
        <v>0</v>
      </c>
      <c r="Q22" s="38">
        <f t="shared" si="4"/>
        <v>0</v>
      </c>
      <c r="R22" s="38">
        <f>'Q.1.iii'!R22</f>
        <v>0</v>
      </c>
      <c r="S22" s="31">
        <f>'Q.1.v'!T21</f>
        <v>0</v>
      </c>
      <c r="T22" s="66">
        <f>'Q.1.v'!T22*(1-F22-G22)</f>
        <v>0</v>
      </c>
      <c r="U22" s="62">
        <f>S22*'Q.1.input'!$N$5</f>
        <v>0</v>
      </c>
      <c r="V22" s="31">
        <f t="shared" si="6"/>
        <v>14373.722901136658</v>
      </c>
      <c r="W22" s="32">
        <f t="shared" si="1"/>
        <v>9845.3387138898088</v>
      </c>
      <c r="X22" s="35">
        <f>(1+'Q.1.input'!$G$27)^-C22</f>
        <v>0.15989075297511918</v>
      </c>
      <c r="Y22" s="33">
        <f t="shared" si="5"/>
        <v>1574.1786202589331</v>
      </c>
    </row>
    <row r="26" spans="3:25" x14ac:dyDescent="0.35">
      <c r="S26" s="96"/>
      <c r="T26" s="96"/>
      <c r="U26" s="96"/>
    </row>
    <row r="27" spans="3:25" x14ac:dyDescent="0.35">
      <c r="S27" s="104"/>
      <c r="T27" s="104"/>
      <c r="U27" s="104"/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D1C5-8549-4EF8-85A4-59A187F99282}">
  <dimension ref="B3:L33"/>
  <sheetViews>
    <sheetView showGridLines="0" zoomScaleNormal="100" workbookViewId="0"/>
  </sheetViews>
  <sheetFormatPr defaultRowHeight="14.5" x14ac:dyDescent="0.35"/>
  <cols>
    <col min="2" max="2" width="16.1796875" bestFit="1" customWidth="1"/>
    <col min="3" max="3" width="16.36328125" bestFit="1" customWidth="1"/>
    <col min="7" max="8" width="13.81640625" bestFit="1" customWidth="1"/>
    <col min="9" max="9" width="14.81640625" bestFit="1" customWidth="1"/>
    <col min="10" max="10" width="13.81640625" customWidth="1"/>
    <col min="11" max="11" width="21.6328125" bestFit="1" customWidth="1"/>
    <col min="12" max="12" width="12.1796875" bestFit="1" customWidth="1"/>
  </cols>
  <sheetData>
    <row r="3" spans="2:12" ht="43.5" x14ac:dyDescent="0.35">
      <c r="B3" s="5" t="s">
        <v>51</v>
      </c>
      <c r="C3" s="7">
        <f>1000000000</f>
        <v>1000000000</v>
      </c>
      <c r="F3" s="2" t="s">
        <v>55</v>
      </c>
      <c r="G3" s="2" t="s">
        <v>56</v>
      </c>
      <c r="H3" s="2" t="s">
        <v>58</v>
      </c>
      <c r="I3" s="10" t="s">
        <v>60</v>
      </c>
      <c r="J3" s="10" t="s">
        <v>61</v>
      </c>
      <c r="K3" s="10" t="s">
        <v>62</v>
      </c>
      <c r="L3" s="10" t="s">
        <v>57</v>
      </c>
    </row>
    <row r="4" spans="2:12" x14ac:dyDescent="0.35">
      <c r="B4" s="5" t="s">
        <v>52</v>
      </c>
      <c r="C4" s="7">
        <f>200000000</f>
        <v>200000000</v>
      </c>
      <c r="F4" s="5">
        <v>1</v>
      </c>
      <c r="G4" s="43">
        <v>10000000</v>
      </c>
      <c r="H4" s="43">
        <v>5000000</v>
      </c>
      <c r="I4" s="7">
        <v>100000000</v>
      </c>
      <c r="J4" s="7">
        <v>4900000</v>
      </c>
      <c r="K4" s="7">
        <v>50000</v>
      </c>
      <c r="L4" s="44">
        <v>6.7299999999999999E-2</v>
      </c>
    </row>
    <row r="5" spans="2:12" x14ac:dyDescent="0.35">
      <c r="F5" s="5">
        <f>F4+1</f>
        <v>2</v>
      </c>
      <c r="G5" s="43">
        <v>10500000</v>
      </c>
      <c r="H5" s="43">
        <v>5225000</v>
      </c>
      <c r="I5" s="7">
        <v>105500000</v>
      </c>
      <c r="J5" s="7">
        <v>3200000</v>
      </c>
      <c r="K5" s="7">
        <v>102000</v>
      </c>
      <c r="L5" s="44">
        <v>7.1900000000000006E-2</v>
      </c>
    </row>
    <row r="6" spans="2:12" x14ac:dyDescent="0.35">
      <c r="F6" s="5">
        <f t="shared" ref="F6:F33" si="0">F5+1</f>
        <v>3</v>
      </c>
      <c r="G6" s="43">
        <v>11025000</v>
      </c>
      <c r="H6" s="43">
        <v>5460125</v>
      </c>
      <c r="I6" s="7">
        <v>111302500</v>
      </c>
      <c r="J6" s="7">
        <v>3500000</v>
      </c>
      <c r="K6" s="7">
        <v>154000</v>
      </c>
      <c r="L6" s="44">
        <v>6.1100000000000002E-2</v>
      </c>
    </row>
    <row r="7" spans="2:12" x14ac:dyDescent="0.35">
      <c r="B7" s="5" t="s">
        <v>53</v>
      </c>
      <c r="C7" s="6">
        <v>0.03</v>
      </c>
      <c r="D7" t="s">
        <v>54</v>
      </c>
      <c r="F7" s="5">
        <f t="shared" si="0"/>
        <v>4</v>
      </c>
      <c r="G7" s="43">
        <v>11576250</v>
      </c>
      <c r="H7" s="43">
        <v>5705830.625</v>
      </c>
      <c r="I7" s="7">
        <v>117424137.5</v>
      </c>
      <c r="J7" s="7">
        <v>5300000</v>
      </c>
      <c r="K7" s="7">
        <v>206000</v>
      </c>
      <c r="L7" s="44">
        <v>7.0199999999999999E-2</v>
      </c>
    </row>
    <row r="8" spans="2:12" x14ac:dyDescent="0.35">
      <c r="B8" t="s">
        <v>70</v>
      </c>
      <c r="C8">
        <v>500</v>
      </c>
      <c r="F8" s="5">
        <f t="shared" si="0"/>
        <v>5</v>
      </c>
      <c r="G8" s="43">
        <v>12155062.5</v>
      </c>
      <c r="H8" s="43">
        <v>5962593.0031249998</v>
      </c>
      <c r="I8" s="7">
        <v>123882465.0625</v>
      </c>
      <c r="J8" s="7">
        <v>3100000</v>
      </c>
      <c r="K8" s="7">
        <v>258000</v>
      </c>
      <c r="L8" s="44">
        <v>6.5199999999999994E-2</v>
      </c>
    </row>
    <row r="9" spans="2:12" x14ac:dyDescent="0.35">
      <c r="B9" t="s">
        <v>71</v>
      </c>
      <c r="C9" s="42">
        <v>5.0000000000000001E-3</v>
      </c>
      <c r="F9" s="5">
        <f t="shared" si="0"/>
        <v>6</v>
      </c>
      <c r="G9" s="43">
        <v>12762815.625</v>
      </c>
      <c r="H9" s="43">
        <v>6230909.6882656245</v>
      </c>
      <c r="I9" s="7">
        <v>130696000.64093749</v>
      </c>
      <c r="J9" s="7">
        <v>4800000</v>
      </c>
      <c r="K9" s="7">
        <v>310000</v>
      </c>
      <c r="L9" s="44">
        <v>7.3599999999999999E-2</v>
      </c>
    </row>
    <row r="10" spans="2:12" x14ac:dyDescent="0.35">
      <c r="F10" s="5">
        <f t="shared" si="0"/>
        <v>7</v>
      </c>
      <c r="G10" s="43">
        <v>13400956.40625</v>
      </c>
      <c r="H10" s="43">
        <v>6511300.6242375774</v>
      </c>
      <c r="I10" s="7">
        <v>137884280.67618904</v>
      </c>
      <c r="J10" s="7">
        <v>4400000</v>
      </c>
      <c r="K10" s="7">
        <v>362000</v>
      </c>
      <c r="L10" s="44">
        <v>7.9000000000000001E-2</v>
      </c>
    </row>
    <row r="11" spans="2:12" x14ac:dyDescent="0.35">
      <c r="F11" s="5">
        <f t="shared" si="0"/>
        <v>8</v>
      </c>
      <c r="G11" s="43">
        <v>14071004.2265625</v>
      </c>
      <c r="H11" s="43">
        <v>6804309.1523282677</v>
      </c>
      <c r="I11" s="7">
        <v>145467916.11337942</v>
      </c>
      <c r="J11" s="7">
        <v>6100000</v>
      </c>
      <c r="K11" s="7">
        <v>414000</v>
      </c>
      <c r="L11" s="44">
        <v>6.9500000000000006E-2</v>
      </c>
    </row>
    <row r="12" spans="2:12" x14ac:dyDescent="0.35">
      <c r="F12" s="5">
        <f t="shared" si="0"/>
        <v>9</v>
      </c>
      <c r="G12" s="43">
        <v>14774554.437890626</v>
      </c>
      <c r="H12" s="43">
        <v>7110503.0641830396</v>
      </c>
      <c r="I12" s="7">
        <v>153468651.49961528</v>
      </c>
      <c r="J12" s="7">
        <v>5500000</v>
      </c>
      <c r="K12" s="7">
        <v>466000</v>
      </c>
      <c r="L12" s="44">
        <v>6.83E-2</v>
      </c>
    </row>
    <row r="13" spans="2:12" x14ac:dyDescent="0.35">
      <c r="F13" s="5">
        <f t="shared" si="0"/>
        <v>10</v>
      </c>
      <c r="G13" s="43">
        <v>15513282.159785159</v>
      </c>
      <c r="H13" s="43">
        <v>7430475.7020712756</v>
      </c>
      <c r="I13" s="7">
        <v>161909427.3320941</v>
      </c>
      <c r="J13" s="7">
        <v>4700000</v>
      </c>
      <c r="K13" s="7">
        <v>518000</v>
      </c>
      <c r="L13" s="44">
        <v>6.7500000000000004E-2</v>
      </c>
    </row>
    <row r="14" spans="2:12" x14ac:dyDescent="0.35">
      <c r="F14" s="5">
        <f t="shared" si="0"/>
        <v>11</v>
      </c>
      <c r="G14" s="43">
        <v>16288946.267774418</v>
      </c>
      <c r="H14" s="43">
        <v>7764847.1086644828</v>
      </c>
      <c r="I14" s="7">
        <v>170814445.83535928</v>
      </c>
      <c r="J14" s="7">
        <v>6300000</v>
      </c>
      <c r="K14" s="7">
        <v>570000</v>
      </c>
      <c r="L14" s="44">
        <v>7.0900000000000005E-2</v>
      </c>
    </row>
    <row r="15" spans="2:12" x14ac:dyDescent="0.35">
      <c r="F15" s="5">
        <f t="shared" si="0"/>
        <v>12</v>
      </c>
      <c r="G15" s="43">
        <v>17103393.581163138</v>
      </c>
      <c r="H15" s="43">
        <v>8114265.2285543839</v>
      </c>
      <c r="I15" s="7">
        <v>180209240.35630402</v>
      </c>
      <c r="J15" s="7">
        <v>5700000</v>
      </c>
      <c r="K15" s="7">
        <v>622000</v>
      </c>
      <c r="L15" s="44">
        <v>6.8900000000000003E-2</v>
      </c>
    </row>
    <row r="16" spans="2:12" x14ac:dyDescent="0.35">
      <c r="F16" s="5">
        <f t="shared" si="0"/>
        <v>13</v>
      </c>
      <c r="G16" s="43">
        <v>17958563.260221295</v>
      </c>
      <c r="H16" s="43">
        <v>8479407.1638393309</v>
      </c>
      <c r="I16" s="7">
        <v>190120748.57590073</v>
      </c>
      <c r="J16" s="7">
        <v>9100000</v>
      </c>
      <c r="K16" s="7">
        <v>674000</v>
      </c>
      <c r="L16" s="44">
        <v>6.1400000000000003E-2</v>
      </c>
    </row>
    <row r="17" spans="6:12" x14ac:dyDescent="0.35">
      <c r="F17" s="5">
        <f t="shared" si="0"/>
        <v>14</v>
      </c>
      <c r="G17" s="43">
        <v>18856491.423232362</v>
      </c>
      <c r="H17" s="43">
        <v>8860980.4862121008</v>
      </c>
      <c r="I17" s="7">
        <v>200577389.74757525</v>
      </c>
      <c r="J17" s="7">
        <v>9300000</v>
      </c>
      <c r="K17" s="7">
        <v>726000</v>
      </c>
      <c r="L17" s="44">
        <v>7.8100000000000003E-2</v>
      </c>
    </row>
    <row r="18" spans="6:12" x14ac:dyDescent="0.35">
      <c r="F18" s="5">
        <f t="shared" si="0"/>
        <v>15</v>
      </c>
      <c r="G18" s="43">
        <v>19799315.994393982</v>
      </c>
      <c r="H18" s="43">
        <v>9259724.6080916449</v>
      </c>
      <c r="I18" s="7">
        <v>211609146.18369189</v>
      </c>
      <c r="J18" s="7">
        <v>7200000</v>
      </c>
      <c r="K18" s="7">
        <v>778000</v>
      </c>
      <c r="L18" s="44">
        <v>6.9599999999999995E-2</v>
      </c>
    </row>
    <row r="19" spans="6:12" x14ac:dyDescent="0.35">
      <c r="F19" s="5">
        <f t="shared" si="0"/>
        <v>16</v>
      </c>
      <c r="G19" s="43">
        <v>20789281.794113681</v>
      </c>
      <c r="H19" s="43">
        <v>9676412.2154557686</v>
      </c>
      <c r="I19" s="7">
        <v>223247649.22379494</v>
      </c>
      <c r="J19" s="7">
        <v>11100000</v>
      </c>
      <c r="K19" s="7">
        <v>830000</v>
      </c>
      <c r="L19" s="44">
        <v>6.5000000000000002E-2</v>
      </c>
    </row>
    <row r="20" spans="6:12" x14ac:dyDescent="0.35">
      <c r="F20" s="5">
        <f t="shared" si="0"/>
        <v>17</v>
      </c>
      <c r="G20" s="43">
        <v>21828745.883819364</v>
      </c>
      <c r="H20" s="43">
        <v>10111850.765151277</v>
      </c>
      <c r="I20" s="7">
        <v>235526269.93110365</v>
      </c>
      <c r="J20" s="7">
        <v>11000000</v>
      </c>
      <c r="K20" s="7">
        <v>882000</v>
      </c>
      <c r="L20" s="44">
        <v>6.3100000000000003E-2</v>
      </c>
    </row>
    <row r="21" spans="6:12" x14ac:dyDescent="0.35">
      <c r="F21" s="5">
        <f t="shared" si="0"/>
        <v>18</v>
      </c>
      <c r="G21" s="43">
        <v>22920183.178010333</v>
      </c>
      <c r="H21" s="43">
        <v>10566884.049583083</v>
      </c>
      <c r="I21" s="7">
        <v>248480214.77731434</v>
      </c>
      <c r="J21" s="7">
        <v>5600000</v>
      </c>
      <c r="K21" s="7">
        <v>934000</v>
      </c>
      <c r="L21" s="44">
        <v>6.4600000000000005E-2</v>
      </c>
    </row>
    <row r="22" spans="6:12" x14ac:dyDescent="0.35">
      <c r="F22" s="5">
        <f t="shared" si="0"/>
        <v>19</v>
      </c>
      <c r="G22" s="43">
        <v>24066192.336910851</v>
      </c>
      <c r="H22" s="43">
        <v>11042393.831814321</v>
      </c>
      <c r="I22" s="7">
        <v>262146626.59006661</v>
      </c>
      <c r="J22" s="7">
        <v>12600000</v>
      </c>
      <c r="K22" s="7">
        <v>986000</v>
      </c>
      <c r="L22" s="44">
        <v>7.3200000000000001E-2</v>
      </c>
    </row>
    <row r="23" spans="6:12" x14ac:dyDescent="0.35">
      <c r="F23" s="5">
        <f t="shared" si="0"/>
        <v>20</v>
      </c>
      <c r="G23" s="43">
        <v>25269501.953756396</v>
      </c>
      <c r="H23" s="43">
        <v>11539301.554245964</v>
      </c>
      <c r="I23" s="7">
        <v>276564691.05252028</v>
      </c>
      <c r="J23" s="7">
        <v>11400000</v>
      </c>
      <c r="K23" s="7">
        <v>1038000</v>
      </c>
      <c r="L23" s="44">
        <v>6.3700000000000007E-2</v>
      </c>
    </row>
    <row r="24" spans="6:12" x14ac:dyDescent="0.35">
      <c r="F24" s="5">
        <f t="shared" si="0"/>
        <v>21</v>
      </c>
      <c r="G24" s="43">
        <v>26532977.051444218</v>
      </c>
      <c r="H24" s="43">
        <v>12058570.124187032</v>
      </c>
      <c r="I24" s="7">
        <v>291775749.06040889</v>
      </c>
      <c r="J24" s="7">
        <v>12600000</v>
      </c>
      <c r="K24" s="7">
        <v>1090000</v>
      </c>
      <c r="L24" s="44">
        <v>7.5999999999999998E-2</v>
      </c>
    </row>
    <row r="25" spans="6:12" x14ac:dyDescent="0.35">
      <c r="F25" s="5">
        <f t="shared" si="0"/>
        <v>22</v>
      </c>
      <c r="G25" s="43">
        <v>27859625.904016431</v>
      </c>
      <c r="H25" s="43">
        <v>12601205.779775448</v>
      </c>
      <c r="I25" s="7">
        <v>307823415.25873137</v>
      </c>
      <c r="J25" s="7">
        <v>9900000</v>
      </c>
      <c r="K25" s="7">
        <v>1142000</v>
      </c>
      <c r="L25" s="44">
        <v>7.5600000000000001E-2</v>
      </c>
    </row>
    <row r="26" spans="6:12" x14ac:dyDescent="0.35">
      <c r="F26" s="5">
        <f t="shared" si="0"/>
        <v>23</v>
      </c>
      <c r="G26" s="43">
        <v>29252607.199217252</v>
      </c>
      <c r="H26" s="43">
        <v>13168260.039865343</v>
      </c>
      <c r="I26" s="7">
        <v>324753703.09796154</v>
      </c>
      <c r="J26" s="7">
        <v>10300000</v>
      </c>
      <c r="K26" s="7">
        <v>1194000</v>
      </c>
      <c r="L26" s="44">
        <v>6.7000000000000004E-2</v>
      </c>
    </row>
    <row r="27" spans="6:12" x14ac:dyDescent="0.35">
      <c r="F27" s="5">
        <f t="shared" si="0"/>
        <v>24</v>
      </c>
      <c r="G27" s="43">
        <v>30715237.559178118</v>
      </c>
      <c r="H27" s="43">
        <v>13760831.741659282</v>
      </c>
      <c r="I27" s="7">
        <v>342615156.76834941</v>
      </c>
      <c r="J27" s="7">
        <v>8300000</v>
      </c>
      <c r="K27" s="7">
        <v>1246000</v>
      </c>
      <c r="L27" s="44">
        <v>6.8199999999999997E-2</v>
      </c>
    </row>
    <row r="28" spans="6:12" x14ac:dyDescent="0.35">
      <c r="F28" s="5">
        <f t="shared" si="0"/>
        <v>25</v>
      </c>
      <c r="G28" s="43">
        <v>32250999.437137026</v>
      </c>
      <c r="H28" s="43">
        <v>14380069.170033948</v>
      </c>
      <c r="I28" s="7">
        <v>361458990.39060861</v>
      </c>
      <c r="J28" s="7">
        <v>16100000</v>
      </c>
      <c r="K28" s="7">
        <v>1298000</v>
      </c>
      <c r="L28" s="44">
        <v>6.59E-2</v>
      </c>
    </row>
    <row r="29" spans="6:12" x14ac:dyDescent="0.35">
      <c r="F29" s="5">
        <f t="shared" si="0"/>
        <v>26</v>
      </c>
      <c r="G29" s="43">
        <v>33863549.408993877</v>
      </c>
      <c r="H29" s="43">
        <v>15027172.282685475</v>
      </c>
      <c r="I29" s="7">
        <v>381339234.86209208</v>
      </c>
      <c r="J29" s="7">
        <v>16900000</v>
      </c>
      <c r="K29" s="7">
        <v>1350000</v>
      </c>
      <c r="L29" s="44">
        <v>6.0100000000000001E-2</v>
      </c>
    </row>
    <row r="30" spans="6:12" x14ac:dyDescent="0.35">
      <c r="F30" s="5">
        <f t="shared" si="0"/>
        <v>27</v>
      </c>
      <c r="G30" s="43">
        <v>35556726.879443571</v>
      </c>
      <c r="H30" s="43">
        <v>15703395.035406321</v>
      </c>
      <c r="I30" s="7">
        <v>402312892.7795071</v>
      </c>
      <c r="J30" s="7">
        <v>19400000</v>
      </c>
      <c r="K30" s="7">
        <v>1402000</v>
      </c>
      <c r="L30" s="44">
        <v>7.7399999999999997E-2</v>
      </c>
    </row>
    <row r="31" spans="6:12" x14ac:dyDescent="0.35">
      <c r="F31" s="5">
        <f t="shared" si="0"/>
        <v>28</v>
      </c>
      <c r="G31" s="43">
        <v>37334563.223415755</v>
      </c>
      <c r="H31" s="43">
        <v>16410047.811999604</v>
      </c>
      <c r="I31" s="7">
        <v>424440101.88237995</v>
      </c>
      <c r="J31" s="7">
        <v>12500000</v>
      </c>
      <c r="K31" s="7">
        <v>1454000</v>
      </c>
      <c r="L31" s="44">
        <v>6.6000000000000003E-2</v>
      </c>
    </row>
    <row r="32" spans="6:12" x14ac:dyDescent="0.35">
      <c r="F32" s="5">
        <f t="shared" si="0"/>
        <v>29</v>
      </c>
      <c r="G32" s="43">
        <v>39201291.384586543</v>
      </c>
      <c r="H32" s="43">
        <v>17148499.963539585</v>
      </c>
      <c r="I32" s="7">
        <v>447784307.48591083</v>
      </c>
      <c r="J32" s="7">
        <v>11200000</v>
      </c>
      <c r="K32" s="7">
        <v>1506000</v>
      </c>
      <c r="L32" s="44">
        <v>7.1900000000000006E-2</v>
      </c>
    </row>
    <row r="33" spans="6:12" x14ac:dyDescent="0.35">
      <c r="F33" s="5">
        <f t="shared" si="0"/>
        <v>30</v>
      </c>
      <c r="G33" s="43">
        <v>41161355.95381587</v>
      </c>
      <c r="H33" s="43">
        <v>17920182.461898867</v>
      </c>
      <c r="I33" s="7">
        <v>472412444.39763588</v>
      </c>
      <c r="J33" s="7">
        <v>20300000</v>
      </c>
      <c r="K33" s="7">
        <v>1558000</v>
      </c>
      <c r="L33" s="44">
        <v>6.3899999999999998E-2</v>
      </c>
    </row>
  </sheetData>
  <pageMargins left="0.7" right="0.7" top="0.75" bottom="0.75" header="0.3" footer="0.3"/>
  <headerFooter>
    <oddFooter>&amp;L_x000D_&amp;1#&amp;"Aptos"&amp;10&amp;K000000 Internal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3D71-9461-4578-B992-9CB720844E68}">
  <dimension ref="B3:S27"/>
  <sheetViews>
    <sheetView showGridLines="0" zoomScaleNormal="100" workbookViewId="0"/>
  </sheetViews>
  <sheetFormatPr defaultRowHeight="14.5" x14ac:dyDescent="0.35"/>
  <cols>
    <col min="3" max="3" width="17.1796875" bestFit="1" customWidth="1"/>
    <col min="4" max="4" width="15.54296875" bestFit="1" customWidth="1"/>
    <col min="5" max="5" width="14.54296875" bestFit="1" customWidth="1"/>
    <col min="6" max="6" width="14.453125" bestFit="1" customWidth="1"/>
    <col min="7" max="7" width="16.36328125" bestFit="1" customWidth="1"/>
    <col min="8" max="8" width="15" bestFit="1" customWidth="1"/>
    <col min="9" max="9" width="12.90625" customWidth="1"/>
    <col min="10" max="10" width="16.36328125" bestFit="1" customWidth="1"/>
    <col min="11" max="11" width="15.453125" bestFit="1" customWidth="1"/>
    <col min="12" max="12" width="15.1796875" bestFit="1" customWidth="1"/>
    <col min="13" max="13" width="14.90625" bestFit="1" customWidth="1"/>
    <col min="14" max="14" width="11.08984375" customWidth="1"/>
    <col min="15" max="15" width="13.90625" bestFit="1" customWidth="1"/>
    <col min="16" max="16" width="16.453125" bestFit="1" customWidth="1"/>
    <col min="17" max="17" width="17.1796875" bestFit="1" customWidth="1"/>
    <col min="18" max="18" width="18.1796875" bestFit="1" customWidth="1"/>
  </cols>
  <sheetData>
    <row r="3" spans="2:19" x14ac:dyDescent="0.35">
      <c r="R3" s="4"/>
    </row>
    <row r="4" spans="2:19" s="96" customFormat="1" ht="15" thickBot="1" x14ac:dyDescent="0.4">
      <c r="C4" s="108"/>
      <c r="D4" s="108"/>
      <c r="S4" s="101"/>
    </row>
    <row r="5" spans="2:19" ht="44" thickBot="1" x14ac:dyDescent="0.4">
      <c r="B5" s="52" t="s">
        <v>55</v>
      </c>
      <c r="C5" s="53" t="s">
        <v>63</v>
      </c>
      <c r="D5" s="54" t="s">
        <v>64</v>
      </c>
      <c r="E5" s="54" t="s">
        <v>56</v>
      </c>
      <c r="F5" s="55" t="s">
        <v>58</v>
      </c>
      <c r="G5" s="56" t="s">
        <v>67</v>
      </c>
      <c r="H5" s="57" t="s">
        <v>68</v>
      </c>
      <c r="I5" s="57" t="s">
        <v>59</v>
      </c>
      <c r="J5" s="58" t="s">
        <v>69</v>
      </c>
      <c r="K5" s="56" t="s">
        <v>65</v>
      </c>
      <c r="L5" s="57" t="s">
        <v>66</v>
      </c>
      <c r="M5" s="57" t="s">
        <v>70</v>
      </c>
      <c r="N5" s="57" t="s">
        <v>72</v>
      </c>
      <c r="O5" s="47" t="s">
        <v>73</v>
      </c>
      <c r="P5" s="63" t="s">
        <v>74</v>
      </c>
      <c r="Q5" s="59" t="s">
        <v>75</v>
      </c>
    </row>
    <row r="6" spans="2:19" x14ac:dyDescent="0.35">
      <c r="B6" s="48">
        <v>1</v>
      </c>
      <c r="C6" s="49">
        <f>-'Q.2.Input'!C3</f>
        <v>-1000000000</v>
      </c>
      <c r="D6" s="50">
        <f>-'Q.2.Input'!C4</f>
        <v>-200000000</v>
      </c>
      <c r="E6" s="50">
        <f>-'Q.2.Input'!G4</f>
        <v>-10000000</v>
      </c>
      <c r="F6" s="51">
        <f>-'Q.2.Input'!H4</f>
        <v>-5000000</v>
      </c>
      <c r="G6" s="49">
        <v>0</v>
      </c>
      <c r="H6" s="50">
        <f>'Q.2.Input'!I4</f>
        <v>100000000</v>
      </c>
      <c r="I6" s="50">
        <f>'Q.2.Input'!J4</f>
        <v>4900000</v>
      </c>
      <c r="J6" s="51">
        <f>G6+H6-I6</f>
        <v>95100000</v>
      </c>
      <c r="K6" s="49">
        <f>-SUM(G6:H6)*'Q.2.Input'!L4</f>
        <v>-6730000</v>
      </c>
      <c r="L6" s="50">
        <f>SUM(G6:H6)*80%*('Q.2.Input'!L4+2%)</f>
        <v>6984000</v>
      </c>
      <c r="M6" s="50">
        <f>'Q.2.Input'!$C$8*'Q.2.Input'!K4</f>
        <v>25000000</v>
      </c>
      <c r="N6" s="50">
        <f>'Q.2.Input'!$C$9*I6</f>
        <v>24500</v>
      </c>
      <c r="O6" s="7">
        <f>'Q.2.Input'!$C$3*'Q.2.Input'!$C$7</f>
        <v>30000000</v>
      </c>
      <c r="P6" s="60">
        <v>0</v>
      </c>
      <c r="Q6" s="60">
        <f>SUM(C6:F6,K6:P6)</f>
        <v>-1159721500</v>
      </c>
    </row>
    <row r="7" spans="2:19" x14ac:dyDescent="0.35">
      <c r="B7" s="45">
        <f>B6+1</f>
        <v>2</v>
      </c>
      <c r="C7" s="29">
        <v>0</v>
      </c>
      <c r="D7" s="7">
        <v>0</v>
      </c>
      <c r="E7" s="7">
        <f>-'Q.2.Input'!G5</f>
        <v>-10500000</v>
      </c>
      <c r="F7" s="30">
        <f>-'Q.2.Input'!H5</f>
        <v>-5225000</v>
      </c>
      <c r="G7" s="29">
        <f>J6</f>
        <v>95100000</v>
      </c>
      <c r="H7" s="7">
        <f>'Q.2.Input'!I5</f>
        <v>105500000</v>
      </c>
      <c r="I7" s="7">
        <f>'Q.2.Input'!J5</f>
        <v>3200000</v>
      </c>
      <c r="J7" s="30">
        <f>G7+H7-I7</f>
        <v>197400000</v>
      </c>
      <c r="K7" s="29">
        <f>-SUM(G7:H7)*'Q.2.Input'!L5</f>
        <v>-14423140.000000002</v>
      </c>
      <c r="L7" s="7">
        <f>SUM(G7:H7)*80%*('Q.2.Input'!L5+2%)</f>
        <v>14748112.000000002</v>
      </c>
      <c r="M7" s="7">
        <f>'Q.2.Input'!$C$8*'Q.2.Input'!K5</f>
        <v>51000000</v>
      </c>
      <c r="N7" s="7">
        <f>'Q.2.Input'!$C$9*I7</f>
        <v>16000</v>
      </c>
      <c r="O7" s="7">
        <f>'Q.2.Input'!$C$3*'Q.2.Input'!$C$7</f>
        <v>30000000</v>
      </c>
      <c r="P7" s="61">
        <v>0</v>
      </c>
      <c r="Q7" s="61">
        <f t="shared" ref="Q7:Q25" si="0">SUM(C7:F7,K7:P7)</f>
        <v>65615972</v>
      </c>
    </row>
    <row r="8" spans="2:19" x14ac:dyDescent="0.35">
      <c r="B8" s="45">
        <f t="shared" ref="B8:B25" si="1">B7+1</f>
        <v>3</v>
      </c>
      <c r="C8" s="29">
        <v>0</v>
      </c>
      <c r="D8" s="7">
        <v>0</v>
      </c>
      <c r="E8" s="7">
        <f>-'Q.2.Input'!G6</f>
        <v>-11025000</v>
      </c>
      <c r="F8" s="30">
        <f>-'Q.2.Input'!H6</f>
        <v>-5460125</v>
      </c>
      <c r="G8" s="29">
        <f t="shared" ref="G8:G25" si="2">J7</f>
        <v>197400000</v>
      </c>
      <c r="H8" s="7">
        <f>'Q.2.Input'!I6</f>
        <v>111302500</v>
      </c>
      <c r="I8" s="7">
        <f>'Q.2.Input'!J6</f>
        <v>3500000</v>
      </c>
      <c r="J8" s="30">
        <f t="shared" ref="J8:J25" si="3">G8+H8-I8</f>
        <v>305202500</v>
      </c>
      <c r="K8" s="29">
        <f>-SUM(G8:H8)*'Q.2.Input'!L6</f>
        <v>-18861722.75</v>
      </c>
      <c r="L8" s="7">
        <f>SUM(G8:H8)*80%*('Q.2.Input'!L6+2%)</f>
        <v>20028618.200000003</v>
      </c>
      <c r="M8" s="7">
        <f>'Q.2.Input'!$C$8*'Q.2.Input'!K6</f>
        <v>77000000</v>
      </c>
      <c r="N8" s="7">
        <f>'Q.2.Input'!$C$9*I8</f>
        <v>17500</v>
      </c>
      <c r="O8" s="7">
        <f>'Q.2.Input'!$C$3*'Q.2.Input'!$C$7</f>
        <v>30000000</v>
      </c>
      <c r="P8" s="61">
        <v>0</v>
      </c>
      <c r="Q8" s="61">
        <f t="shared" si="0"/>
        <v>91699270.450000003</v>
      </c>
    </row>
    <row r="9" spans="2:19" x14ac:dyDescent="0.35">
      <c r="B9" s="45">
        <f t="shared" si="1"/>
        <v>4</v>
      </c>
      <c r="C9" s="29">
        <v>0</v>
      </c>
      <c r="D9" s="7">
        <v>0</v>
      </c>
      <c r="E9" s="7">
        <f>-'Q.2.Input'!G7</f>
        <v>-11576250</v>
      </c>
      <c r="F9" s="30">
        <f>-'Q.2.Input'!H7</f>
        <v>-5705830.625</v>
      </c>
      <c r="G9" s="29">
        <f t="shared" si="2"/>
        <v>305202500</v>
      </c>
      <c r="H9" s="7">
        <f>'Q.2.Input'!I7</f>
        <v>117424137.5</v>
      </c>
      <c r="I9" s="7">
        <f>'Q.2.Input'!J7</f>
        <v>5300000</v>
      </c>
      <c r="J9" s="30">
        <f t="shared" si="3"/>
        <v>417326637.5</v>
      </c>
      <c r="K9" s="29">
        <f>-SUM(G9:H9)*'Q.2.Input'!L7</f>
        <v>-29668389.952500001</v>
      </c>
      <c r="L9" s="7">
        <f>SUM(G9:H9)*80%*('Q.2.Input'!L7+2%)</f>
        <v>30496738.162</v>
      </c>
      <c r="M9" s="7">
        <f>'Q.2.Input'!$C$8*'Q.2.Input'!K7</f>
        <v>103000000</v>
      </c>
      <c r="N9" s="7">
        <f>'Q.2.Input'!$C$9*I9</f>
        <v>26500</v>
      </c>
      <c r="O9" s="7">
        <f>'Q.2.Input'!$C$3*'Q.2.Input'!$C$7</f>
        <v>30000000</v>
      </c>
      <c r="P9" s="61">
        <v>0</v>
      </c>
      <c r="Q9" s="61">
        <f t="shared" si="0"/>
        <v>116572767.5845</v>
      </c>
    </row>
    <row r="10" spans="2:19" x14ac:dyDescent="0.35">
      <c r="B10" s="45">
        <f t="shared" si="1"/>
        <v>5</v>
      </c>
      <c r="C10" s="29">
        <v>0</v>
      </c>
      <c r="D10" s="7">
        <v>0</v>
      </c>
      <c r="E10" s="7">
        <f>-'Q.2.Input'!G8</f>
        <v>-12155062.5</v>
      </c>
      <c r="F10" s="30">
        <f>-'Q.2.Input'!H8</f>
        <v>-5962593.0031249998</v>
      </c>
      <c r="G10" s="29">
        <f t="shared" si="2"/>
        <v>417326637.5</v>
      </c>
      <c r="H10" s="7">
        <f>'Q.2.Input'!I8</f>
        <v>123882465.0625</v>
      </c>
      <c r="I10" s="7">
        <f>'Q.2.Input'!J8</f>
        <v>3100000</v>
      </c>
      <c r="J10" s="30">
        <f t="shared" si="3"/>
        <v>538109102.5625</v>
      </c>
      <c r="K10" s="29">
        <f>-SUM(G10:H10)*'Q.2.Input'!L8</f>
        <v>-35286833.487074994</v>
      </c>
      <c r="L10" s="7">
        <f>SUM(G10:H10)*80%*('Q.2.Input'!L8+2%)</f>
        <v>36888812.430660002</v>
      </c>
      <c r="M10" s="7">
        <f>'Q.2.Input'!$C$8*'Q.2.Input'!K8</f>
        <v>129000000</v>
      </c>
      <c r="N10" s="7">
        <f>'Q.2.Input'!$C$9*I10</f>
        <v>15500</v>
      </c>
      <c r="O10" s="7">
        <f>'Q.2.Input'!$C$3*'Q.2.Input'!$C$7</f>
        <v>30000000</v>
      </c>
      <c r="P10" s="61">
        <v>0</v>
      </c>
      <c r="Q10" s="61">
        <f t="shared" si="0"/>
        <v>142499823.44046</v>
      </c>
    </row>
    <row r="11" spans="2:19" x14ac:dyDescent="0.35">
      <c r="B11" s="45">
        <f t="shared" si="1"/>
        <v>6</v>
      </c>
      <c r="C11" s="29">
        <v>0</v>
      </c>
      <c r="D11" s="7">
        <v>0</v>
      </c>
      <c r="E11" s="7">
        <f>-'Q.2.Input'!G9</f>
        <v>-12762815.625</v>
      </c>
      <c r="F11" s="30">
        <f>-'Q.2.Input'!H9</f>
        <v>-6230909.6882656245</v>
      </c>
      <c r="G11" s="29">
        <f t="shared" si="2"/>
        <v>538109102.5625</v>
      </c>
      <c r="H11" s="7">
        <f>'Q.2.Input'!I9</f>
        <v>130696000.64093749</v>
      </c>
      <c r="I11" s="7">
        <f>'Q.2.Input'!J9</f>
        <v>4800000</v>
      </c>
      <c r="J11" s="30">
        <f t="shared" si="3"/>
        <v>664005103.20343745</v>
      </c>
      <c r="K11" s="29">
        <f>-SUM(G11:H11)*'Q.2.Input'!L9</f>
        <v>-49224055.595772997</v>
      </c>
      <c r="L11" s="7">
        <f>SUM(G11:H11)*80%*('Q.2.Input'!L9+2%)</f>
        <v>50080126.127873398</v>
      </c>
      <c r="M11" s="7">
        <f>'Q.2.Input'!$C$8*'Q.2.Input'!K9</f>
        <v>155000000</v>
      </c>
      <c r="N11" s="7">
        <f>'Q.2.Input'!$C$9*I11</f>
        <v>24000</v>
      </c>
      <c r="O11" s="7">
        <f>'Q.2.Input'!$C$3*'Q.2.Input'!$C$7</f>
        <v>30000000</v>
      </c>
      <c r="P11" s="61">
        <v>0</v>
      </c>
      <c r="Q11" s="61">
        <f t="shared" si="0"/>
        <v>166886345.21883479</v>
      </c>
    </row>
    <row r="12" spans="2:19" x14ac:dyDescent="0.35">
      <c r="B12" s="45">
        <f t="shared" si="1"/>
        <v>7</v>
      </c>
      <c r="C12" s="29">
        <v>0</v>
      </c>
      <c r="D12" s="7">
        <v>0</v>
      </c>
      <c r="E12" s="7">
        <f>-'Q.2.Input'!G10</f>
        <v>-13400956.40625</v>
      </c>
      <c r="F12" s="30">
        <f>-'Q.2.Input'!H10</f>
        <v>-6511300.6242375774</v>
      </c>
      <c r="G12" s="29">
        <f t="shared" si="2"/>
        <v>664005103.20343745</v>
      </c>
      <c r="H12" s="7">
        <f>'Q.2.Input'!I10</f>
        <v>137884280.67618904</v>
      </c>
      <c r="I12" s="7">
        <f>'Q.2.Input'!J10</f>
        <v>4400000</v>
      </c>
      <c r="J12" s="30">
        <f t="shared" si="3"/>
        <v>797489383.87962651</v>
      </c>
      <c r="K12" s="29">
        <f>-SUM(G12:H12)*'Q.2.Input'!L10</f>
        <v>-63349261.326490492</v>
      </c>
      <c r="L12" s="7">
        <f>SUM(G12:H12)*80%*('Q.2.Input'!L10+2%)</f>
        <v>63509639.203266427</v>
      </c>
      <c r="M12" s="7">
        <f>'Q.2.Input'!$C$8*'Q.2.Input'!K10</f>
        <v>181000000</v>
      </c>
      <c r="N12" s="7">
        <f>'Q.2.Input'!$C$9*I12</f>
        <v>22000</v>
      </c>
      <c r="O12" s="7">
        <f>'Q.2.Input'!$C$3*'Q.2.Input'!$C$7</f>
        <v>30000000</v>
      </c>
      <c r="P12" s="61">
        <v>0</v>
      </c>
      <c r="Q12" s="61">
        <f t="shared" si="0"/>
        <v>191270120.84628835</v>
      </c>
    </row>
    <row r="13" spans="2:19" x14ac:dyDescent="0.35">
      <c r="B13" s="45">
        <f t="shared" si="1"/>
        <v>8</v>
      </c>
      <c r="C13" s="29">
        <v>0</v>
      </c>
      <c r="D13" s="7">
        <v>0</v>
      </c>
      <c r="E13" s="7">
        <f>-'Q.2.Input'!G11</f>
        <v>-14071004.2265625</v>
      </c>
      <c r="F13" s="30">
        <f>-'Q.2.Input'!H11</f>
        <v>-6804309.1523282677</v>
      </c>
      <c r="G13" s="29">
        <f t="shared" si="2"/>
        <v>797489383.87962651</v>
      </c>
      <c r="H13" s="7">
        <f>'Q.2.Input'!I11</f>
        <v>145467916.11337942</v>
      </c>
      <c r="I13" s="7">
        <f>'Q.2.Input'!J11</f>
        <v>6100000</v>
      </c>
      <c r="J13" s="30">
        <f t="shared" si="3"/>
        <v>936857299.99300599</v>
      </c>
      <c r="K13" s="29">
        <f>-SUM(G13:H13)*'Q.2.Input'!L11</f>
        <v>-65535532.349513926</v>
      </c>
      <c r="L13" s="7">
        <f>SUM(G13:H13)*80%*('Q.2.Input'!L11+2%)</f>
        <v>67515742.679499239</v>
      </c>
      <c r="M13" s="7">
        <f>'Q.2.Input'!$C$8*'Q.2.Input'!K11</f>
        <v>207000000</v>
      </c>
      <c r="N13" s="7">
        <f>'Q.2.Input'!$C$9*I13</f>
        <v>30500</v>
      </c>
      <c r="O13" s="7">
        <f>'Q.2.Input'!$C$3*'Q.2.Input'!$C$7</f>
        <v>30000000</v>
      </c>
      <c r="P13" s="61">
        <v>0</v>
      </c>
      <c r="Q13" s="61">
        <f t="shared" si="0"/>
        <v>218135396.95109454</v>
      </c>
    </row>
    <row r="14" spans="2:19" x14ac:dyDescent="0.35">
      <c r="B14" s="45">
        <f t="shared" si="1"/>
        <v>9</v>
      </c>
      <c r="C14" s="29">
        <v>0</v>
      </c>
      <c r="D14" s="7">
        <v>0</v>
      </c>
      <c r="E14" s="7">
        <f>-'Q.2.Input'!G12</f>
        <v>-14774554.437890626</v>
      </c>
      <c r="F14" s="30">
        <f>-'Q.2.Input'!H12</f>
        <v>-7110503.0641830396</v>
      </c>
      <c r="G14" s="29">
        <f t="shared" si="2"/>
        <v>936857299.99300599</v>
      </c>
      <c r="H14" s="7">
        <f>'Q.2.Input'!I12</f>
        <v>153468651.49961528</v>
      </c>
      <c r="I14" s="7">
        <f>'Q.2.Input'!J12</f>
        <v>5500000</v>
      </c>
      <c r="J14" s="30">
        <f t="shared" si="3"/>
        <v>1084825951.4926212</v>
      </c>
      <c r="K14" s="29">
        <f>-SUM(G14:H14)*'Q.2.Input'!L12</f>
        <v>-74469262.486946031</v>
      </c>
      <c r="L14" s="7">
        <f>SUM(G14:H14)*80%*('Q.2.Input'!L12+2%)</f>
        <v>77020625.213438779</v>
      </c>
      <c r="M14" s="7">
        <f>'Q.2.Input'!$C$8*'Q.2.Input'!K12</f>
        <v>233000000</v>
      </c>
      <c r="N14" s="7">
        <f>'Q.2.Input'!$C$9*I14</f>
        <v>27500</v>
      </c>
      <c r="O14" s="7">
        <f>'Q.2.Input'!$C$3*'Q.2.Input'!$C$7</f>
        <v>30000000</v>
      </c>
      <c r="P14" s="61">
        <v>0</v>
      </c>
      <c r="Q14" s="61">
        <f t="shared" si="0"/>
        <v>243693805.22441909</v>
      </c>
    </row>
    <row r="15" spans="2:19" x14ac:dyDescent="0.35">
      <c r="B15" s="45">
        <f t="shared" si="1"/>
        <v>10</v>
      </c>
      <c r="C15" s="29">
        <v>0</v>
      </c>
      <c r="D15" s="7">
        <v>0</v>
      </c>
      <c r="E15" s="7">
        <f>-'Q.2.Input'!G13</f>
        <v>-15513282.159785159</v>
      </c>
      <c r="F15" s="30">
        <f>-'Q.2.Input'!H13</f>
        <v>-7430475.7020712756</v>
      </c>
      <c r="G15" s="29">
        <f t="shared" si="2"/>
        <v>1084825951.4926212</v>
      </c>
      <c r="H15" s="7">
        <f>'Q.2.Input'!I13</f>
        <v>161909427.3320941</v>
      </c>
      <c r="I15" s="7">
        <f>'Q.2.Input'!J13</f>
        <v>4700000</v>
      </c>
      <c r="J15" s="30">
        <f t="shared" si="3"/>
        <v>1242035378.8247154</v>
      </c>
      <c r="K15" s="29">
        <f>-SUM(G15:H15)*'Q.2.Input'!L13</f>
        <v>-84154638.070668295</v>
      </c>
      <c r="L15" s="7">
        <f>SUM(G15:H15)*80%*('Q.2.Input'!L13+2%)</f>
        <v>87271476.517730087</v>
      </c>
      <c r="M15" s="7">
        <f>'Q.2.Input'!$C$8*'Q.2.Input'!K13</f>
        <v>259000000</v>
      </c>
      <c r="N15" s="7">
        <f>'Q.2.Input'!$C$9*I15</f>
        <v>23500</v>
      </c>
      <c r="O15" s="7">
        <f>'Q.2.Input'!$C$3*'Q.2.Input'!$C$7</f>
        <v>30000000</v>
      </c>
      <c r="P15" s="61">
        <v>0</v>
      </c>
      <c r="Q15" s="61">
        <f t="shared" si="0"/>
        <v>269196580.58520538</v>
      </c>
    </row>
    <row r="16" spans="2:19" x14ac:dyDescent="0.35">
      <c r="B16" s="45">
        <f t="shared" si="1"/>
        <v>11</v>
      </c>
      <c r="C16" s="29">
        <v>0</v>
      </c>
      <c r="D16" s="7">
        <v>0</v>
      </c>
      <c r="E16" s="7">
        <f>-'Q.2.Input'!G14</f>
        <v>-16288946.267774418</v>
      </c>
      <c r="F16" s="30">
        <f>-'Q.2.Input'!H14</f>
        <v>-7764847.1086644828</v>
      </c>
      <c r="G16" s="29">
        <f t="shared" si="2"/>
        <v>1242035378.8247154</v>
      </c>
      <c r="H16" s="7">
        <f>'Q.2.Input'!I14</f>
        <v>170814445.83535928</v>
      </c>
      <c r="I16" s="7">
        <f>'Q.2.Input'!J14</f>
        <v>6300000</v>
      </c>
      <c r="J16" s="30">
        <f t="shared" si="3"/>
        <v>1406549824.6600747</v>
      </c>
      <c r="K16" s="29">
        <f>-SUM(G16:H16)*'Q.2.Input'!L14</f>
        <v>-100171052.56839931</v>
      </c>
      <c r="L16" s="7">
        <f>SUM(G16:H16)*80%*('Q.2.Input'!L14+2%)</f>
        <v>102742439.24928065</v>
      </c>
      <c r="M16" s="7">
        <f>'Q.2.Input'!$C$8*'Q.2.Input'!K14</f>
        <v>285000000</v>
      </c>
      <c r="N16" s="7">
        <f>'Q.2.Input'!$C$9*I16</f>
        <v>31500</v>
      </c>
      <c r="O16" s="7">
        <f>'Q.2.Input'!$C$3*'Q.2.Input'!$C$7</f>
        <v>30000000</v>
      </c>
      <c r="P16" s="61">
        <v>0</v>
      </c>
      <c r="Q16" s="61">
        <f t="shared" si="0"/>
        <v>293549093.30444241</v>
      </c>
    </row>
    <row r="17" spans="2:17" x14ac:dyDescent="0.35">
      <c r="B17" s="45">
        <f t="shared" si="1"/>
        <v>12</v>
      </c>
      <c r="C17" s="29">
        <v>0</v>
      </c>
      <c r="D17" s="7">
        <v>0</v>
      </c>
      <c r="E17" s="7">
        <f>-'Q.2.Input'!G15</f>
        <v>-17103393.581163138</v>
      </c>
      <c r="F17" s="30">
        <f>-'Q.2.Input'!H15</f>
        <v>-8114265.2285543839</v>
      </c>
      <c r="G17" s="29">
        <f t="shared" si="2"/>
        <v>1406549824.6600747</v>
      </c>
      <c r="H17" s="7">
        <f>'Q.2.Input'!I15</f>
        <v>180209240.35630402</v>
      </c>
      <c r="I17" s="7">
        <f>'Q.2.Input'!J15</f>
        <v>5700000</v>
      </c>
      <c r="J17" s="30">
        <f t="shared" si="3"/>
        <v>1581059065.0163786</v>
      </c>
      <c r="K17" s="29">
        <f>-SUM(G17:H17)*'Q.2.Input'!L15</f>
        <v>-109327699.5796285</v>
      </c>
      <c r="L17" s="7">
        <f>SUM(G17:H17)*80%*('Q.2.Input'!L15+2%)</f>
        <v>112850304.70396486</v>
      </c>
      <c r="M17" s="7">
        <f>'Q.2.Input'!$C$8*'Q.2.Input'!K15</f>
        <v>311000000</v>
      </c>
      <c r="N17" s="7">
        <f>'Q.2.Input'!$C$9*I17</f>
        <v>28500</v>
      </c>
      <c r="O17" s="7">
        <f>'Q.2.Input'!$C$3*'Q.2.Input'!$C$7</f>
        <v>30000000</v>
      </c>
      <c r="P17" s="61">
        <v>0</v>
      </c>
      <c r="Q17" s="61">
        <f t="shared" si="0"/>
        <v>319333446.31461883</v>
      </c>
    </row>
    <row r="18" spans="2:17" x14ac:dyDescent="0.35">
      <c r="B18" s="45">
        <f t="shared" si="1"/>
        <v>13</v>
      </c>
      <c r="C18" s="29">
        <v>0</v>
      </c>
      <c r="D18" s="7">
        <v>0</v>
      </c>
      <c r="E18" s="7">
        <f>-'Q.2.Input'!G16</f>
        <v>-17958563.260221295</v>
      </c>
      <c r="F18" s="30">
        <f>-'Q.2.Input'!H16</f>
        <v>-8479407.1638393309</v>
      </c>
      <c r="G18" s="29">
        <f t="shared" si="2"/>
        <v>1581059065.0163786</v>
      </c>
      <c r="H18" s="7">
        <f>'Q.2.Input'!I16</f>
        <v>190120748.57590073</v>
      </c>
      <c r="I18" s="7">
        <f>'Q.2.Input'!J16</f>
        <v>9100000</v>
      </c>
      <c r="J18" s="30">
        <f t="shared" si="3"/>
        <v>1762079813.5922794</v>
      </c>
      <c r="K18" s="29">
        <f>-SUM(G18:H18)*'Q.2.Input'!L16</f>
        <v>-108750440.55456597</v>
      </c>
      <c r="L18" s="7">
        <f>SUM(G18:H18)*80%*('Q.2.Input'!L16+2%)</f>
        <v>115339229.46112925</v>
      </c>
      <c r="M18" s="7">
        <f>'Q.2.Input'!$C$8*'Q.2.Input'!K16</f>
        <v>337000000</v>
      </c>
      <c r="N18" s="7">
        <f>'Q.2.Input'!$C$9*I18</f>
        <v>45500</v>
      </c>
      <c r="O18" s="7">
        <f>'Q.2.Input'!$C$3*'Q.2.Input'!$C$7</f>
        <v>30000000</v>
      </c>
      <c r="P18" s="61">
        <v>0</v>
      </c>
      <c r="Q18" s="61">
        <f t="shared" si="0"/>
        <v>347196318.48250264</v>
      </c>
    </row>
    <row r="19" spans="2:17" x14ac:dyDescent="0.35">
      <c r="B19" s="45">
        <f t="shared" si="1"/>
        <v>14</v>
      </c>
      <c r="C19" s="29">
        <v>0</v>
      </c>
      <c r="D19" s="7">
        <v>0</v>
      </c>
      <c r="E19" s="7">
        <f>-'Q.2.Input'!G17</f>
        <v>-18856491.423232362</v>
      </c>
      <c r="F19" s="30">
        <f>-'Q.2.Input'!H17</f>
        <v>-8860980.4862121008</v>
      </c>
      <c r="G19" s="29">
        <f t="shared" si="2"/>
        <v>1762079813.5922794</v>
      </c>
      <c r="H19" s="7">
        <f>'Q.2.Input'!I17</f>
        <v>200577389.74757525</v>
      </c>
      <c r="I19" s="7">
        <f>'Q.2.Input'!J17</f>
        <v>9300000</v>
      </c>
      <c r="J19" s="30">
        <f t="shared" si="3"/>
        <v>1953357203.3398547</v>
      </c>
      <c r="K19" s="29">
        <f>-SUM(G19:H19)*'Q.2.Input'!L17</f>
        <v>-153283527.58084264</v>
      </c>
      <c r="L19" s="7">
        <f>SUM(G19:H19)*80%*('Q.2.Input'!L17+2%)</f>
        <v>154029337.31811181</v>
      </c>
      <c r="M19" s="7">
        <f>'Q.2.Input'!$C$8*'Q.2.Input'!K17</f>
        <v>363000000</v>
      </c>
      <c r="N19" s="7">
        <f>'Q.2.Input'!$C$9*I19</f>
        <v>46500</v>
      </c>
      <c r="O19" s="7">
        <f>'Q.2.Input'!$C$3*'Q.2.Input'!$C$7</f>
        <v>30000000</v>
      </c>
      <c r="P19" s="61">
        <v>0</v>
      </c>
      <c r="Q19" s="61">
        <f t="shared" si="0"/>
        <v>366074837.82782471</v>
      </c>
    </row>
    <row r="20" spans="2:17" x14ac:dyDescent="0.35">
      <c r="B20" s="45">
        <f t="shared" si="1"/>
        <v>15</v>
      </c>
      <c r="C20" s="29">
        <v>0</v>
      </c>
      <c r="D20" s="7">
        <v>0</v>
      </c>
      <c r="E20" s="7">
        <f>-'Q.2.Input'!G18</f>
        <v>-19799315.994393982</v>
      </c>
      <c r="F20" s="30">
        <f>-'Q.2.Input'!H18</f>
        <v>-9259724.6080916449</v>
      </c>
      <c r="G20" s="29">
        <f t="shared" si="2"/>
        <v>1953357203.3398547</v>
      </c>
      <c r="H20" s="7">
        <f>'Q.2.Input'!I18</f>
        <v>211609146.18369189</v>
      </c>
      <c r="I20" s="7">
        <f>'Q.2.Input'!J18</f>
        <v>7200000</v>
      </c>
      <c r="J20" s="30">
        <f t="shared" si="3"/>
        <v>2157766349.5235467</v>
      </c>
      <c r="K20" s="29">
        <f>-SUM(G20:H20)*'Q.2.Input'!L18</f>
        <v>-150681657.92683885</v>
      </c>
      <c r="L20" s="7">
        <f>SUM(G20:H20)*80%*('Q.2.Input'!L18+2%)</f>
        <v>155184787.93384781</v>
      </c>
      <c r="M20" s="7">
        <f>'Q.2.Input'!$C$8*'Q.2.Input'!K18</f>
        <v>389000000</v>
      </c>
      <c r="N20" s="7">
        <f>'Q.2.Input'!$C$9*I20</f>
        <v>36000</v>
      </c>
      <c r="O20" s="7">
        <f>'Q.2.Input'!$C$3*'Q.2.Input'!$C$7</f>
        <v>30000000</v>
      </c>
      <c r="P20" s="61">
        <v>0</v>
      </c>
      <c r="Q20" s="61">
        <f t="shared" si="0"/>
        <v>394480089.40452337</v>
      </c>
    </row>
    <row r="21" spans="2:17" x14ac:dyDescent="0.35">
      <c r="B21" s="45">
        <f t="shared" si="1"/>
        <v>16</v>
      </c>
      <c r="C21" s="29">
        <v>0</v>
      </c>
      <c r="D21" s="7">
        <v>0</v>
      </c>
      <c r="E21" s="7">
        <f>-'Q.2.Input'!G19</f>
        <v>-20789281.794113681</v>
      </c>
      <c r="F21" s="30">
        <f>-'Q.2.Input'!H19</f>
        <v>-9676412.2154557686</v>
      </c>
      <c r="G21" s="29">
        <f t="shared" si="2"/>
        <v>2157766349.5235467</v>
      </c>
      <c r="H21" s="7">
        <f>'Q.2.Input'!I19</f>
        <v>223247649.22379494</v>
      </c>
      <c r="I21" s="7">
        <f>'Q.2.Input'!J19</f>
        <v>11100000</v>
      </c>
      <c r="J21" s="30">
        <f t="shared" si="3"/>
        <v>2369913998.7473416</v>
      </c>
      <c r="K21" s="29">
        <f>-SUM(G21:H21)*'Q.2.Input'!L19</f>
        <v>-154765909.91857722</v>
      </c>
      <c r="L21" s="7">
        <f>SUM(G21:H21)*80%*('Q.2.Input'!L19+2%)</f>
        <v>161908951.91481924</v>
      </c>
      <c r="M21" s="7">
        <f>'Q.2.Input'!$C$8*'Q.2.Input'!K19</f>
        <v>415000000</v>
      </c>
      <c r="N21" s="7">
        <f>'Q.2.Input'!$C$9*I21</f>
        <v>55500</v>
      </c>
      <c r="O21" s="7">
        <f>'Q.2.Input'!$C$3*'Q.2.Input'!$C$7</f>
        <v>30000000</v>
      </c>
      <c r="P21" s="61">
        <v>0</v>
      </c>
      <c r="Q21" s="61">
        <f t="shared" si="0"/>
        <v>421732847.98667258</v>
      </c>
    </row>
    <row r="22" spans="2:17" x14ac:dyDescent="0.35">
      <c r="B22" s="45">
        <f t="shared" si="1"/>
        <v>17</v>
      </c>
      <c r="C22" s="29">
        <v>0</v>
      </c>
      <c r="D22" s="7">
        <v>0</v>
      </c>
      <c r="E22" s="7">
        <f>-'Q.2.Input'!G20</f>
        <v>-21828745.883819364</v>
      </c>
      <c r="F22" s="30">
        <f>-'Q.2.Input'!H20</f>
        <v>-10111850.765151277</v>
      </c>
      <c r="G22" s="29">
        <f t="shared" si="2"/>
        <v>2369913998.7473416</v>
      </c>
      <c r="H22" s="7">
        <f>'Q.2.Input'!I20</f>
        <v>235526269.93110365</v>
      </c>
      <c r="I22" s="7">
        <f>'Q.2.Input'!J20</f>
        <v>11000000</v>
      </c>
      <c r="J22" s="30">
        <f t="shared" si="3"/>
        <v>2594440268.6784453</v>
      </c>
      <c r="K22" s="29">
        <f>-SUM(G22:H22)*'Q.2.Input'!L20</f>
        <v>-164403280.95360991</v>
      </c>
      <c r="L22" s="7">
        <f>SUM(G22:H22)*80%*('Q.2.Input'!L20+2%)</f>
        <v>173209669.06174308</v>
      </c>
      <c r="M22" s="7">
        <f>'Q.2.Input'!$C$8*'Q.2.Input'!K20</f>
        <v>441000000</v>
      </c>
      <c r="N22" s="7">
        <f>'Q.2.Input'!$C$9*I22</f>
        <v>55000</v>
      </c>
      <c r="O22" s="7">
        <f>'Q.2.Input'!$C$3*'Q.2.Input'!$C$7</f>
        <v>30000000</v>
      </c>
      <c r="P22" s="61">
        <v>0</v>
      </c>
      <c r="Q22" s="61">
        <f t="shared" si="0"/>
        <v>447920791.45916253</v>
      </c>
    </row>
    <row r="23" spans="2:17" x14ac:dyDescent="0.35">
      <c r="B23" s="45">
        <f t="shared" si="1"/>
        <v>18</v>
      </c>
      <c r="C23" s="29">
        <v>0</v>
      </c>
      <c r="D23" s="7">
        <v>0</v>
      </c>
      <c r="E23" s="7">
        <f>-'Q.2.Input'!G21</f>
        <v>-22920183.178010333</v>
      </c>
      <c r="F23" s="30">
        <f>-'Q.2.Input'!H21</f>
        <v>-10566884.049583083</v>
      </c>
      <c r="G23" s="29">
        <f t="shared" si="2"/>
        <v>2594440268.6784453</v>
      </c>
      <c r="H23" s="7">
        <f>'Q.2.Input'!I21</f>
        <v>248480214.77731434</v>
      </c>
      <c r="I23" s="7">
        <f>'Q.2.Input'!J21</f>
        <v>5600000</v>
      </c>
      <c r="J23" s="30">
        <f t="shared" si="3"/>
        <v>2837320483.4557595</v>
      </c>
      <c r="K23" s="29">
        <f>-SUM(G23:H23)*'Q.2.Input'!L21</f>
        <v>-183652663.23124209</v>
      </c>
      <c r="L23" s="7">
        <f>SUM(G23:H23)*80%*('Q.2.Input'!L21+2%)</f>
        <v>192408858.32028586</v>
      </c>
      <c r="M23" s="7">
        <f>'Q.2.Input'!$C$8*'Q.2.Input'!K21</f>
        <v>467000000</v>
      </c>
      <c r="N23" s="7">
        <f>'Q.2.Input'!$C$9*I23</f>
        <v>28000</v>
      </c>
      <c r="O23" s="7">
        <f>'Q.2.Input'!$C$3*'Q.2.Input'!$C$7</f>
        <v>30000000</v>
      </c>
      <c r="P23" s="61">
        <v>0</v>
      </c>
      <c r="Q23" s="61">
        <f t="shared" si="0"/>
        <v>472297127.86145031</v>
      </c>
    </row>
    <row r="24" spans="2:17" x14ac:dyDescent="0.35">
      <c r="B24" s="45">
        <f t="shared" si="1"/>
        <v>19</v>
      </c>
      <c r="C24" s="29">
        <v>0</v>
      </c>
      <c r="D24" s="7">
        <v>0</v>
      </c>
      <c r="E24" s="7">
        <f>-'Q.2.Input'!G22</f>
        <v>-24066192.336910851</v>
      </c>
      <c r="F24" s="30">
        <f>-'Q.2.Input'!H22</f>
        <v>-11042393.831814321</v>
      </c>
      <c r="G24" s="29">
        <f t="shared" si="2"/>
        <v>2837320483.4557595</v>
      </c>
      <c r="H24" s="7">
        <f>'Q.2.Input'!I22</f>
        <v>262146626.59006661</v>
      </c>
      <c r="I24" s="7">
        <f>'Q.2.Input'!J22</f>
        <v>12600000</v>
      </c>
      <c r="J24" s="30">
        <f t="shared" si="3"/>
        <v>3086867110.045826</v>
      </c>
      <c r="K24" s="29">
        <f>-SUM(G24:H24)*'Q.2.Input'!L22</f>
        <v>-226880992.45535445</v>
      </c>
      <c r="L24" s="7">
        <f>SUM(G24:H24)*80%*('Q.2.Input'!L22+2%)</f>
        <v>231096267.72501677</v>
      </c>
      <c r="M24" s="7">
        <f>'Q.2.Input'!$C$8*'Q.2.Input'!K22</f>
        <v>493000000</v>
      </c>
      <c r="N24" s="7">
        <f>'Q.2.Input'!$C$9*I24</f>
        <v>63000</v>
      </c>
      <c r="O24" s="7">
        <f>'Q.2.Input'!$C$3*'Q.2.Input'!$C$7</f>
        <v>30000000</v>
      </c>
      <c r="P24" s="61">
        <v>0</v>
      </c>
      <c r="Q24" s="61">
        <f t="shared" si="0"/>
        <v>492169689.10093713</v>
      </c>
    </row>
    <row r="25" spans="2:17" ht="15" thickBot="1" x14ac:dyDescent="0.4">
      <c r="B25" s="46">
        <f t="shared" si="1"/>
        <v>20</v>
      </c>
      <c r="C25" s="31">
        <v>0</v>
      </c>
      <c r="D25" s="32">
        <v>0</v>
      </c>
      <c r="E25" s="32">
        <f>-'Q.2.Input'!G23</f>
        <v>-25269501.953756396</v>
      </c>
      <c r="F25" s="33">
        <f>-'Q.2.Input'!H23</f>
        <v>-11539301.554245964</v>
      </c>
      <c r="G25" s="31">
        <f t="shared" si="2"/>
        <v>3086867110.045826</v>
      </c>
      <c r="H25" s="32">
        <f>'Q.2.Input'!I23</f>
        <v>276564691.05252028</v>
      </c>
      <c r="I25" s="32">
        <f>'Q.2.Input'!J23</f>
        <v>11400000</v>
      </c>
      <c r="J25" s="33">
        <f t="shared" si="3"/>
        <v>3352031801.0983462</v>
      </c>
      <c r="K25" s="31">
        <f>-SUM(G25:H25)*'Q.2.Input'!L23</f>
        <v>-214250605.72996467</v>
      </c>
      <c r="L25" s="32">
        <f>SUM(G25:H25)*80%*('Q.2.Input'!L23+2%)</f>
        <v>225215393.40154532</v>
      </c>
      <c r="M25" s="32">
        <f>'Q.2.Input'!$C$8*'Q.2.Input'!K23</f>
        <v>519000000</v>
      </c>
      <c r="N25" s="32">
        <f>'Q.2.Input'!$C$9*I25</f>
        <v>57000</v>
      </c>
      <c r="O25" s="32">
        <f>'Q.2.Input'!$C$3*'Q.2.Input'!$C$7</f>
        <v>30000000</v>
      </c>
      <c r="P25" s="62">
        <f>L25*5</f>
        <v>1126076967.0077267</v>
      </c>
      <c r="Q25" s="62">
        <f t="shared" si="0"/>
        <v>1649289951.1713049</v>
      </c>
    </row>
    <row r="27" spans="2:17" x14ac:dyDescent="0.35"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</row>
  </sheetData>
  <mergeCells count="1">
    <mergeCell ref="C4:D4"/>
  </mergeCells>
  <pageMargins left="0.7" right="0.7" top="0.75" bottom="0.75" header="0.3" footer="0.3"/>
  <headerFooter>
    <oddFooter>&amp;L_x000D_&amp;1#&amp;"Aptos"&amp;10&amp;K000000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7a12b3-3a39-4e5f-afa6-4629bb16037e">
      <Terms xmlns="http://schemas.microsoft.com/office/infopath/2007/PartnerControls"/>
    </lcf76f155ced4ddcb4097134ff3c332f>
    <_ip_UnifiedCompliancePolicyUIAction xmlns="http://schemas.microsoft.com/sharepoint/v3" xsi:nil="true"/>
    <TaxCatchAll xmlns="1f0d55de-41a8-442a-939a-8c7a93a15acc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74D6C390916B4A8494C33A5D3CA82B" ma:contentTypeVersion="18" ma:contentTypeDescription="Create a new document." ma:contentTypeScope="" ma:versionID="061ed7418ccd0ab96bbd5383361f11e3">
  <xsd:schema xmlns:xsd="http://www.w3.org/2001/XMLSchema" xmlns:xs="http://www.w3.org/2001/XMLSchema" xmlns:p="http://schemas.microsoft.com/office/2006/metadata/properties" xmlns:ns1="http://schemas.microsoft.com/sharepoint/v3" xmlns:ns2="307a12b3-3a39-4e5f-afa6-4629bb16037e" xmlns:ns3="1f0d55de-41a8-442a-939a-8c7a93a15acc" targetNamespace="http://schemas.microsoft.com/office/2006/metadata/properties" ma:root="true" ma:fieldsID="d0fab99a09af8f4f7597e523ca27625f" ns1:_="" ns2:_="" ns3:_="">
    <xsd:import namespace="http://schemas.microsoft.com/sharepoint/v3"/>
    <xsd:import namespace="307a12b3-3a39-4e5f-afa6-4629bb16037e"/>
    <xsd:import namespace="1f0d55de-41a8-442a-939a-8c7a93a15a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a12b3-3a39-4e5f-afa6-4629bb160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90f828-4d96-4d10-bc53-6c3febba0b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d55de-41a8-442a-939a-8c7a93a15a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38ea2c-1d97-4ed9-8a85-6ab57bb76901}" ma:internalName="TaxCatchAll" ma:showField="CatchAllData" ma:web="1f0d55de-41a8-442a-939a-8c7a93a15a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C97676-E48B-4294-AABD-18CE72194E1F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sharepoint/v3"/>
    <ds:schemaRef ds:uri="http://schemas.microsoft.com/office/infopath/2007/PartnerControls"/>
    <ds:schemaRef ds:uri="1f0d55de-41a8-442a-939a-8c7a93a15acc"/>
    <ds:schemaRef ds:uri="307a12b3-3a39-4e5f-afa6-4629bb16037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6454676-3767-4D6F-B7A5-28DA2DC5D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7a12b3-3a39-4e5f-afa6-4629bb16037e"/>
    <ds:schemaRef ds:uri="1f0d55de-41a8-442a-939a-8c7a93a15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7A38D8-1429-461B-A708-4F01FC6FFD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Q.1.input</vt:lpstr>
      <vt:lpstr>Q.1.i</vt:lpstr>
      <vt:lpstr>Q.1.ii</vt:lpstr>
      <vt:lpstr>Q.1.iii</vt:lpstr>
      <vt:lpstr>Q.1.iv</vt:lpstr>
      <vt:lpstr>Q.1.v</vt:lpstr>
      <vt:lpstr>Q.1.vi</vt:lpstr>
      <vt:lpstr>Q.2.Input</vt:lpstr>
      <vt:lpstr>Q.2.i</vt:lpstr>
      <vt:lpstr>Q.2.ii</vt:lpstr>
      <vt:lpstr>Q.2.iii</vt:lpstr>
      <vt:lpstr>Q.2.iv</vt:lpstr>
      <vt:lpstr>Q.2.v</vt:lpstr>
      <vt:lpstr>Q.3.Input</vt:lpstr>
      <vt:lpstr>Q.3.i</vt:lpstr>
      <vt:lpstr>Q.3.ii</vt:lpstr>
      <vt:lpstr>Q.3.iii</vt:lpstr>
      <vt:lpstr>Q.3.iv</vt:lpstr>
      <vt:lpstr>Q.3.v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Soham Wadke</dc:creator>
  <cp:lastModifiedBy>Soham Wadke</cp:lastModifiedBy>
  <dcterms:created xsi:type="dcterms:W3CDTF">2026-04-08T15:29:34Z</dcterms:created>
  <dcterms:modified xsi:type="dcterms:W3CDTF">2026-04-08T15:29:34Z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0x010100FE74D6C390916B4A8494C33A5D3CA82B</vt:lpwstr>
  </property>
  <property fmtid="{D5CDD505-2E9C-101B-9397-08002B2CF9AE}" pid="3" name="MediaServiceImageTags">
    <vt:lpwstr/>
  </property>
  <property fmtid="{D5CDD505-2E9C-101B-9397-08002B2CF9AE}" pid="4" name="MSIP_Label_53ee76ca-be85-41f1-8e3c-c7577958f6f1_Enabled">
    <vt:lpwstr>true</vt:lpwstr>
  </property>
  <property fmtid="{D5CDD505-2E9C-101B-9397-08002B2CF9AE}" pid="5" name="MSIP_Label_53ee76ca-be85-41f1-8e3c-c7577958f6f1_SetDate">
    <vt:lpwstr>2026-04-08T15:29:19Z</vt:lpwstr>
  </property>
  <property fmtid="{D5CDD505-2E9C-101B-9397-08002B2CF9AE}" pid="6" name="MSIP_Label_53ee76ca-be85-41f1-8e3c-c7577958f6f1_Method">
    <vt:lpwstr>Standard</vt:lpwstr>
  </property>
  <property fmtid="{D5CDD505-2E9C-101B-9397-08002B2CF9AE}" pid="7" name="MSIP_Label_53ee76ca-be85-41f1-8e3c-c7577958f6f1_Name">
    <vt:lpwstr>Internal</vt:lpwstr>
  </property>
  <property fmtid="{D5CDD505-2E9C-101B-9397-08002B2CF9AE}" pid="8" name="MSIP_Label_53ee76ca-be85-41f1-8e3c-c7577958f6f1_SiteId">
    <vt:lpwstr>b82a1e45-0dba-41e7-bfd0-0de16eb9d5ef</vt:lpwstr>
  </property>
  <property fmtid="{D5CDD505-2E9C-101B-9397-08002B2CF9AE}" pid="9" name="MSIP_Label_53ee76ca-be85-41f1-8e3c-c7577958f6f1_ActionId">
    <vt:lpwstr>c1a6fc89-676e-47b5-a0c1-ed8c0d75002b</vt:lpwstr>
  </property>
  <property fmtid="{D5CDD505-2E9C-101B-9397-08002B2CF9AE}" pid="10" name="MSIP_Label_53ee76ca-be85-41f1-8e3c-c7577958f6f1_ContentBits">
    <vt:lpwstr>2</vt:lpwstr>
  </property>
  <property fmtid="{D5CDD505-2E9C-101B-9397-08002B2CF9AE}" pid="11" name="MSIP_Label_53ee76ca-be85-41f1-8e3c-c7577958f6f1_Tag">
    <vt:lpwstr>10, 3, 0, 1</vt:lpwstr>
  </property>
</Properties>
</file>